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TK\TKN\03_NZ\03_Abrechnung\0_Netzentgelte\2019_für_2020\Entgeltrechner\"/>
    </mc:Choice>
  </mc:AlternateContent>
  <bookViews>
    <workbookView xWindow="180" yWindow="60" windowWidth="15990" windowHeight="14985"/>
  </bookViews>
  <sheets>
    <sheet name="Entgeltrechner2020_inklVNB" sheetId="1" r:id="rId1"/>
    <sheet name="Messtechnik" sheetId="3" state="hidden" r:id="rId2"/>
    <sheet name="Preistabellen inkl. VNB" sheetId="5" state="hidden" r:id="rId3"/>
    <sheet name="verkn.Preistabellen inkl. VNB" sheetId="10" state="hidden" r:id="rId4"/>
    <sheet name="unterjNN" sheetId="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HWA09" localSheetId="3">#REF!</definedName>
    <definedName name="_HWA09">#REF!</definedName>
    <definedName name="_HWL09" localSheetId="3">#REF!</definedName>
    <definedName name="_HWL09">#REF!</definedName>
    <definedName name="aeot" localSheetId="3">[1]Entgeltrechner2007!#REF!</definedName>
    <definedName name="aeot">[1]Entgeltrechner2007!#REF!</definedName>
    <definedName name="AEOT09" localSheetId="3">#REF!</definedName>
    <definedName name="AEOT09">#REF!</definedName>
    <definedName name="aeotv" localSheetId="3">[1]Entgeltrechner2007!#REF!</definedName>
    <definedName name="aeotv">[1]Entgeltrechner2007!#REF!</definedName>
    <definedName name="aeov" localSheetId="3">[1]Entgeltrechner2007!#REF!</definedName>
    <definedName name="aeov">[1]Entgeltrechner2007!#REF!</definedName>
    <definedName name="AEOV09" localSheetId="3">#REF!</definedName>
    <definedName name="AEOV09">#REF!</definedName>
    <definedName name="aeovv" localSheetId="3">[1]Entgeltrechner2007!#REF!</definedName>
    <definedName name="aeovv">[1]Entgeltrechner2007!#REF!</definedName>
    <definedName name="bm_p_ot" localSheetId="3">#REF!</definedName>
    <definedName name="bm_p_ot">#REF!</definedName>
    <definedName name="bm_p_ov" localSheetId="3">#REF!</definedName>
    <definedName name="bm_p_ov">#REF!</definedName>
    <definedName name="Brennwert" localSheetId="3">#REF!</definedName>
    <definedName name="Brennwert">#REF!</definedName>
    <definedName name="Druckbereich_1" localSheetId="3">#REF!</definedName>
    <definedName name="Druckbereich_1">#REF!</definedName>
    <definedName name="EntGelt_NWS" localSheetId="3">#REF!</definedName>
    <definedName name="EntGelt_NWS">#REF!</definedName>
    <definedName name="exp_p" localSheetId="3">#REF!</definedName>
    <definedName name="exp_p">#REF!</definedName>
    <definedName name="EXPA09" localSheetId="3">#REF!</definedName>
    <definedName name="EXPA09">#REF!</definedName>
    <definedName name="EXPARB">'[2]DLE ARBEIT'!$S$27</definedName>
    <definedName name="expc" localSheetId="3">[1]Entgeltrechner2007!#REF!</definedName>
    <definedName name="expc">[1]Entgeltrechner2007!#REF!</definedName>
    <definedName name="expcv" localSheetId="3">[1]Entgeltrechner2007!#REF!</definedName>
    <definedName name="expcv">[1]Entgeltrechner2007!#REF!</definedName>
    <definedName name="expd" localSheetId="3">[1]Entgeltrechner2007!#REF!</definedName>
    <definedName name="expd">[1]Entgeltrechner2007!#REF!</definedName>
    <definedName name="expdv" localSheetId="3">[1]Entgeltrechner2007!#REF!</definedName>
    <definedName name="expdv">[1]Entgeltrechner2007!#REF!</definedName>
    <definedName name="EXPL09" localSheetId="3">#REF!</definedName>
    <definedName name="EXPL09">#REF!</definedName>
    <definedName name="EXPLSTG">'[3]DLE Leistung'!$S$27</definedName>
    <definedName name="hwa" localSheetId="3">[1]Entgeltrechner2007!#REF!</definedName>
    <definedName name="hwa">[1]Entgeltrechner2007!#REF!</definedName>
    <definedName name="hwav" localSheetId="3">[1]Entgeltrechner2007!#REF!</definedName>
    <definedName name="hwav">[1]Entgeltrechner2007!#REF!</definedName>
    <definedName name="hwl" localSheetId="3">[1]Entgeltrechner2007!#REF!</definedName>
    <definedName name="hwl">[1]Entgeltrechner2007!#REF!</definedName>
    <definedName name="hwlv" localSheetId="3">[1]Entgeltrechner2007!#REF!</definedName>
    <definedName name="hwlv">[1]Entgeltrechner2007!#REF!</definedName>
    <definedName name="leot" localSheetId="3">[1]Entgeltrechner2007!#REF!</definedName>
    <definedName name="leot">[1]Entgeltrechner2007!#REF!</definedName>
    <definedName name="LEOTM09" localSheetId="3">#REF!</definedName>
    <definedName name="LEOTM09">#REF!</definedName>
    <definedName name="LEOTO09" localSheetId="3">#REF!</definedName>
    <definedName name="LEOTO09">#REF!</definedName>
    <definedName name="leotv" localSheetId="3">[1]Entgeltrechner2007!#REF!</definedName>
    <definedName name="leotv">[1]Entgeltrechner2007!#REF!</definedName>
    <definedName name="leov" localSheetId="3">[1]Entgeltrechner2007!#REF!</definedName>
    <definedName name="leov">[1]Entgeltrechner2007!#REF!</definedName>
    <definedName name="LEOV09" localSheetId="3">#REF!</definedName>
    <definedName name="LEOV09">#REF!</definedName>
    <definedName name="leovv" localSheetId="3">[1]Entgeltrechner2007!#REF!</definedName>
    <definedName name="leovv">[1]Entgeltrechner2007!#REF!</definedName>
    <definedName name="LEspez" localSheetId="3">[1]Preisblatt_VV2!#REF!</definedName>
    <definedName name="LEspez">[1]Preisblatt_VV2!#REF!</definedName>
    <definedName name="MDLJA">'[4]Verprobung MAM'!$G$40</definedName>
    <definedName name="MDLMO">'[4]Verprobung MAM'!$G$41</definedName>
    <definedName name="pot" localSheetId="3">#REF!</definedName>
    <definedName name="pot">#REF!</definedName>
    <definedName name="potd" localSheetId="3">#REF!</definedName>
    <definedName name="potd">#REF!</definedName>
    <definedName name="potnp" localSheetId="3">#REF!</definedName>
    <definedName name="potnp">#REF!</definedName>
    <definedName name="pov" localSheetId="3">#REF!</definedName>
    <definedName name="pov">#REF!</definedName>
    <definedName name="Print_Area" localSheetId="0">Entgeltrechner2020_inklVNB!$A$1:$H$139</definedName>
    <definedName name="Print_Titles" localSheetId="0">Entgeltrechner2020_inklVNB!$1:$2</definedName>
    <definedName name="pst" localSheetId="3">#REF!</definedName>
    <definedName name="pst">#REF!</definedName>
    <definedName name="pwp" localSheetId="3">#REF!</definedName>
    <definedName name="pwp">#REF!</definedName>
    <definedName name="wot" localSheetId="3">#REF!</definedName>
    <definedName name="wot">#REF!</definedName>
    <definedName name="wov" localSheetId="3">#REF!</definedName>
    <definedName name="wov">#REF!</definedName>
    <definedName name="wp_p" localSheetId="3">#REF!</definedName>
    <definedName name="wp_p">#REF!</definedName>
    <definedName name="wst" localSheetId="3">#REF!</definedName>
    <definedName name="wst">#REF!</definedName>
    <definedName name="wwp" localSheetId="3">#REF!</definedName>
    <definedName name="wwp">#REF!</definedName>
    <definedName name="Z_2F2906FD_A594_42FF_825D_21A69F4D3CD5_.wvu.Cols" localSheetId="0" hidden="1">Entgeltrechner2020_inklVNB!$J:$XFD</definedName>
    <definedName name="Z_2F2906FD_A594_42FF_825D_21A69F4D3CD5_.wvu.PrintArea" localSheetId="0" hidden="1">Entgeltrechner2020_inklVNB!$A$1:$H$139</definedName>
    <definedName name="Z_2F2906FD_A594_42FF_825D_21A69F4D3CD5_.wvu.PrintTitles" localSheetId="0" hidden="1">Entgeltrechner2020_inklVNB!$1:$2</definedName>
    <definedName name="Z_2F2906FD_A594_42FF_825D_21A69F4D3CD5_.wvu.Rows" localSheetId="0" hidden="1">Entgeltrechner2020_inklVNB!$73:$1048576,Entgeltrechner2020_inklVNB!$25:$30,Entgeltrechner2020_inklVNB!$34:$39,Entgeltrechner2020_inklVNB!$67:$72</definedName>
    <definedName name="Zaehler">Messtechnik!$B$6:$B$19</definedName>
  </definedNames>
  <calcPr calcId="162913"/>
  <customWorkbookViews>
    <customWorkbookView name="Pfaff Thomas - Persönliche Ansicht" guid="{2F2906FD-A594-42FF-825D-21A69F4D3CD5}" mergeInterval="0" personalView="1" maximized="1" windowWidth="1920" windowHeight="985" activeSheetId="7"/>
  </customWorkbookViews>
</workbook>
</file>

<file path=xl/calcChain.xml><?xml version="1.0" encoding="utf-8"?>
<calcChain xmlns="http://schemas.openxmlformats.org/spreadsheetml/2006/main">
  <c r="F51" i="1" l="1"/>
  <c r="G51" i="1"/>
  <c r="G49" i="1"/>
  <c r="N10" i="5"/>
  <c r="M39" i="5"/>
  <c r="K39" i="5"/>
  <c r="K40" i="5" s="1"/>
  <c r="M45" i="5" s="1"/>
  <c r="K38" i="5"/>
  <c r="K27" i="5"/>
  <c r="K45" i="5" s="1"/>
  <c r="M26" i="5"/>
  <c r="K26" i="5"/>
  <c r="K25" i="5"/>
  <c r="N11" i="5"/>
  <c r="K10" i="5"/>
  <c r="N9" i="5"/>
  <c r="K9" i="5"/>
  <c r="K46" i="5" l="1"/>
  <c r="C57" i="1" l="1"/>
  <c r="D58" i="1" l="1"/>
  <c r="F7" i="1"/>
  <c r="D47" i="1"/>
  <c r="D57" i="1"/>
  <c r="I58" i="1" l="1"/>
  <c r="G58" i="1" s="1"/>
  <c r="G57" i="1"/>
  <c r="G53" i="1" l="1"/>
  <c r="D24" i="7" l="1"/>
  <c r="D23" i="7"/>
  <c r="D22" i="7"/>
  <c r="D21" i="7"/>
  <c r="D20" i="7"/>
  <c r="D19" i="7"/>
  <c r="D18" i="7"/>
  <c r="D17" i="7"/>
  <c r="D16" i="7"/>
  <c r="D14" i="7"/>
  <c r="D13" i="7"/>
  <c r="C43" i="7" l="1"/>
  <c r="M13" i="7"/>
  <c r="M17" i="7" s="1"/>
  <c r="M18" i="7" s="1"/>
  <c r="F43" i="7"/>
  <c r="G43" i="7" l="1"/>
  <c r="M14" i="7"/>
  <c r="G2" i="7" l="1"/>
  <c r="G7" i="1" l="1"/>
  <c r="C36" i="7" l="1"/>
  <c r="C38" i="7"/>
  <c r="D15" i="7"/>
  <c r="B30" i="7"/>
  <c r="B32" i="7"/>
  <c r="B34" i="7"/>
  <c r="C34" i="7"/>
  <c r="B36" i="7"/>
  <c r="B38" i="7"/>
  <c r="B40" i="7"/>
  <c r="B42" i="7"/>
  <c r="C42" i="7"/>
  <c r="B45" i="7"/>
  <c r="B47" i="7"/>
  <c r="C47" i="7"/>
  <c r="D47" i="7"/>
  <c r="E47" i="7"/>
  <c r="F47" i="7"/>
  <c r="B49" i="7"/>
  <c r="B51" i="7"/>
  <c r="C51" i="7"/>
  <c r="B53" i="7"/>
  <c r="F24" i="7"/>
  <c r="F23" i="7"/>
  <c r="F22" i="7"/>
  <c r="F21" i="7"/>
  <c r="F20" i="7"/>
  <c r="F19" i="7"/>
  <c r="F18" i="7"/>
  <c r="F17" i="7"/>
  <c r="F16" i="7"/>
  <c r="F15" i="7"/>
  <c r="F14" i="7"/>
  <c r="F13" i="7"/>
  <c r="D42" i="7" l="1"/>
  <c r="D25" i="1" l="1"/>
  <c r="B16" i="1" l="1"/>
  <c r="D16" i="1" s="1"/>
  <c r="D26" i="1"/>
  <c r="D34" i="1"/>
  <c r="G38" i="7" l="1"/>
  <c r="D35" i="1"/>
  <c r="D38" i="1"/>
  <c r="D29" i="1"/>
  <c r="D30" i="1" s="1"/>
  <c r="F64" i="1"/>
  <c r="D39" i="1" l="1"/>
  <c r="G42" i="7"/>
  <c r="G62" i="1" l="1"/>
  <c r="G47" i="7" l="1"/>
  <c r="G47" i="1" l="1"/>
  <c r="G34" i="7" l="1"/>
  <c r="G36" i="7" l="1"/>
  <c r="G51" i="7" l="1"/>
  <c r="M16" i="7" l="1"/>
  <c r="D27" i="1" l="1"/>
  <c r="M15" i="7"/>
  <c r="O20" i="7" s="1"/>
  <c r="E8" i="7" s="1"/>
  <c r="D36" i="1" l="1"/>
  <c r="G18" i="7"/>
  <c r="G22" i="7"/>
  <c r="G21" i="7"/>
  <c r="G15" i="7"/>
  <c r="G16" i="7"/>
  <c r="G24" i="7"/>
  <c r="G19" i="7"/>
  <c r="G14" i="7"/>
  <c r="G13" i="7"/>
  <c r="G23" i="7"/>
  <c r="G20" i="7"/>
  <c r="G17" i="7"/>
  <c r="D37" i="1"/>
  <c r="E16" i="1"/>
  <c r="F16" i="1" s="1"/>
  <c r="G26" i="7" l="1"/>
  <c r="D28" i="1"/>
  <c r="F32" i="1" s="1"/>
  <c r="G28" i="7" s="1"/>
  <c r="F41" i="1"/>
  <c r="F30" i="7" l="1"/>
  <c r="G41" i="1"/>
  <c r="G43" i="1"/>
  <c r="G30" i="7"/>
  <c r="G53" i="7" s="1"/>
  <c r="G69" i="1" l="1"/>
  <c r="G64" i="1"/>
  <c r="C16" i="1" l="1"/>
  <c r="G18" i="1" s="1"/>
  <c r="G68" i="1" s="1"/>
</calcChain>
</file>

<file path=xl/sharedStrings.xml><?xml version="1.0" encoding="utf-8"?>
<sst xmlns="http://schemas.openxmlformats.org/spreadsheetml/2006/main" count="303" uniqueCount="159">
  <si>
    <t>GP</t>
  </si>
  <si>
    <t>Restmenge</t>
  </si>
  <si>
    <t>AP</t>
  </si>
  <si>
    <t>AE</t>
  </si>
  <si>
    <t>Summe</t>
  </si>
  <si>
    <t>abgegolten</t>
  </si>
  <si>
    <t>Leistungsbereich</t>
  </si>
  <si>
    <t>Leistungspreis</t>
  </si>
  <si>
    <t>(M)</t>
  </si>
  <si>
    <t>i</t>
  </si>
  <si>
    <t>von kWh</t>
  </si>
  <si>
    <t>bis kWh</t>
  </si>
  <si>
    <t>€/kWh/h</t>
  </si>
  <si>
    <t>Jahresarbeit</t>
  </si>
  <si>
    <t>Arbeitspreis</t>
  </si>
  <si>
    <t>ct/kWh</t>
  </si>
  <si>
    <t>kWh/h/a</t>
  </si>
  <si>
    <t>kWh</t>
  </si>
  <si>
    <t>Zählergröße</t>
  </si>
  <si>
    <t>SLP</t>
  </si>
  <si>
    <t>RLM</t>
  </si>
  <si>
    <t>G4</t>
  </si>
  <si>
    <t>G6</t>
  </si>
  <si>
    <t>G10</t>
  </si>
  <si>
    <t>G16</t>
  </si>
  <si>
    <t>G25</t>
  </si>
  <si>
    <t>G40</t>
  </si>
  <si>
    <t>G65</t>
  </si>
  <si>
    <t>G100</t>
  </si>
  <si>
    <t>G160</t>
  </si>
  <si>
    <t>G250</t>
  </si>
  <si>
    <t>G400</t>
  </si>
  <si>
    <t>G650</t>
  </si>
  <si>
    <t>G1000</t>
  </si>
  <si>
    <t>G1600</t>
  </si>
  <si>
    <t>Zählerfernauslesung</t>
  </si>
  <si>
    <t>Zähler</t>
  </si>
  <si>
    <t>Meßdienstleistung</t>
  </si>
  <si>
    <t>Messung</t>
  </si>
  <si>
    <t>G2500</t>
  </si>
  <si>
    <t>Mengenumwerter</t>
  </si>
  <si>
    <t>Tarifgerät</t>
  </si>
  <si>
    <t>Tabelle 5: Entgelte für Messung</t>
  </si>
  <si>
    <t>(Zähldaten und Meßstellenbetrieb)</t>
  </si>
  <si>
    <t>Zone</t>
  </si>
  <si>
    <t>Vorzonenpreis</t>
  </si>
  <si>
    <t>Arbeitspreis für
die Restmenge</t>
  </si>
  <si>
    <t>€/a</t>
  </si>
  <si>
    <t>kWh/h</t>
  </si>
  <si>
    <t>Zähldatenerfassung</t>
  </si>
  <si>
    <t>2.5 Preise für Sonderleistungen</t>
  </si>
  <si>
    <t>Preise für Sonderleistungen - Zähldatenerfassung</t>
  </si>
  <si>
    <t xml:space="preserve">Anzahl Abrechnungen pro Jahr: </t>
  </si>
  <si>
    <t>Telefonanschluß - kostenlos durch Kunde</t>
  </si>
  <si>
    <t>im Vorzonenpreis
abgegoltenen Jahresarbeit</t>
  </si>
  <si>
    <t>im Vorzonenpreis
abgegoltene Leistung</t>
  </si>
  <si>
    <t>von kW</t>
  </si>
  <si>
    <t>bis kW</t>
  </si>
  <si>
    <t>Preiszone</t>
  </si>
  <si>
    <t>abgeg. Arbeitsmenge</t>
  </si>
  <si>
    <t>Arbeitsentgelt</t>
  </si>
  <si>
    <t>Tabelle 1</t>
  </si>
  <si>
    <t>für SLP - Entnahmestellen</t>
  </si>
  <si>
    <t>Arbeitspreis für RLM-Entnahmestellen</t>
  </si>
  <si>
    <t>Leistungsspreis für RLM-Entnahmestellen</t>
  </si>
  <si>
    <t>abgeg. Leistung</t>
  </si>
  <si>
    <t>Restleistung</t>
  </si>
  <si>
    <t>Tabelle 3</t>
  </si>
  <si>
    <t>Tabelle 2</t>
  </si>
  <si>
    <t>Messstellenbetrieb</t>
  </si>
  <si>
    <t>Messdienstleistung</t>
  </si>
  <si>
    <t>Transportentgelt für SLP - Entnahmestellen (ohne Leistungsmessung)</t>
  </si>
  <si>
    <t xml:space="preserve">Entnahmestellen ohne Leistungsmessung </t>
  </si>
  <si>
    <t>Entnahmestellen mit Leistungsmessung</t>
  </si>
  <si>
    <t>Transportentgelt für RLM-Entnahmestellen</t>
  </si>
  <si>
    <t>Jahres-Höchstleistung</t>
  </si>
  <si>
    <t xml:space="preserve"> </t>
  </si>
  <si>
    <t>Preistabellen inkl. Kostenwälzung vorgel. Netze</t>
  </si>
  <si>
    <t>(ZP i)</t>
  </si>
  <si>
    <t>(M i)</t>
  </si>
  <si>
    <t>(AP i)</t>
  </si>
  <si>
    <t>nur für SLP</t>
  </si>
  <si>
    <t>Arbeitsentgelt RLM</t>
  </si>
  <si>
    <t>Leistungsentgelt RLM</t>
  </si>
  <si>
    <t>Nein</t>
  </si>
  <si>
    <t xml:space="preserve">   </t>
  </si>
  <si>
    <t>Kostenvergleich</t>
  </si>
  <si>
    <t>Berechnungsbasis (Eingaben bitte in die grauen Felder)</t>
  </si>
  <si>
    <t>monatliche manuelle Auslesung vor Ort</t>
  </si>
  <si>
    <t>Ablesekarte je Abrechnung</t>
  </si>
  <si>
    <t>Jahres-
Höchstleistung</t>
  </si>
  <si>
    <t>Monat</t>
  </si>
  <si>
    <t>LP</t>
  </si>
  <si>
    <t>€/Mo</t>
  </si>
  <si>
    <t>Jan</t>
  </si>
  <si>
    <t>Feb</t>
  </si>
  <si>
    <t>Mrz</t>
  </si>
  <si>
    <t>Apr</t>
  </si>
  <si>
    <t>1/12</t>
  </si>
  <si>
    <t>Mai</t>
  </si>
  <si>
    <t>Jun</t>
  </si>
  <si>
    <t>Jul</t>
  </si>
  <si>
    <t>Aug</t>
  </si>
  <si>
    <t>Sep</t>
  </si>
  <si>
    <t>Okt</t>
  </si>
  <si>
    <t>Nov</t>
  </si>
  <si>
    <t>Dez</t>
  </si>
  <si>
    <t>Unterjährige Netznutzung</t>
  </si>
  <si>
    <t>gemessene Leistung</t>
  </si>
  <si>
    <t>Summe Leistungsentgelt</t>
  </si>
  <si>
    <t>spezifischer Leistungspreis gem. Preisblatt</t>
  </si>
  <si>
    <t>Berechnung der unterjährigen Netznutzung anhand der im Entgeltrechner ermittelten Daten aus Jahresarbeit und</t>
  </si>
  <si>
    <t>In die gelben Felder unten die monatlich gemessene Höchstlast eintragen</t>
  </si>
  <si>
    <t>der Jahreshöchstleistung</t>
  </si>
  <si>
    <t>pro Monat</t>
  </si>
  <si>
    <t>pro Ablesung pro Monat</t>
  </si>
  <si>
    <t>Zählerfernauslesung stündlich</t>
  </si>
  <si>
    <t xml:space="preserve">Jahresarbeit </t>
  </si>
  <si>
    <t>TG</t>
  </si>
  <si>
    <t>MU</t>
  </si>
  <si>
    <t>I-Mess</t>
  </si>
  <si>
    <t>anbindungsfähig</t>
  </si>
  <si>
    <t>Aufpreis für Anbindung an ein Smart-Meter-Gateway</t>
  </si>
  <si>
    <t>Gesamtkosten Netznutzung 
ohne Konzessionsabgabe</t>
  </si>
  <si>
    <t xml:space="preserve">SLP  </t>
  </si>
  <si>
    <t xml:space="preserve">RLM  </t>
  </si>
  <si>
    <t>*) nur bei Entnahmestellen mit Leistungsmessung</t>
  </si>
  <si>
    <t xml:space="preserve">Abrechnungsleistung  *) </t>
  </si>
  <si>
    <t>.</t>
  </si>
  <si>
    <t>Bereitstellung durch Messstellenbetreiber per GSM</t>
  </si>
  <si>
    <t>"Zählerfernauslesung Standard 
max. 3*täglich"</t>
  </si>
  <si>
    <t>keine Fernauslesung bei SLP</t>
  </si>
  <si>
    <r>
      <rPr>
        <u/>
        <sz val="14"/>
        <color rgb="FF4D4D60"/>
        <rFont val="DIN-Regular"/>
        <family val="2"/>
      </rPr>
      <t xml:space="preserve">inkl. </t>
    </r>
    <r>
      <rPr>
        <sz val="14"/>
        <color rgb="FF4D4D60"/>
        <rFont val="DIN-Regular"/>
        <family val="2"/>
      </rPr>
      <t>Netzentgelt vorgel. Netze</t>
    </r>
  </si>
  <si>
    <r>
      <t>Transportentgelt SLP (</t>
    </r>
    <r>
      <rPr>
        <sz val="11"/>
        <color rgb="FF4D4D60"/>
        <rFont val="DIN-Regular"/>
        <family val="2"/>
      </rPr>
      <t>Jahresabrechnung</t>
    </r>
    <r>
      <rPr>
        <sz val="14"/>
        <color rgb="FF4D4D60"/>
        <rFont val="DIN-Regular"/>
        <family val="2"/>
      </rPr>
      <t>)</t>
    </r>
  </si>
  <si>
    <r>
      <t>Transportentgelt RLM (</t>
    </r>
    <r>
      <rPr>
        <sz val="11"/>
        <color rgb="FF4D4D60"/>
        <rFont val="DIN-Regular"/>
        <family val="2"/>
      </rPr>
      <t>Jahresabrechnung - Arbeit- und Leistungsentgelt</t>
    </r>
    <r>
      <rPr>
        <sz val="14"/>
        <color rgb="FF4D4D60"/>
        <rFont val="DIN-Regular"/>
        <family val="2"/>
      </rPr>
      <t>)</t>
    </r>
  </si>
  <si>
    <r>
      <t xml:space="preserve">Gesamtkosten Netznutzung 
</t>
    </r>
    <r>
      <rPr>
        <sz val="10"/>
        <color rgb="FF4D4D60"/>
        <rFont val="DIN-Regular"/>
        <family val="2"/>
      </rPr>
      <t>ohne Konzessionsabgabe</t>
    </r>
  </si>
  <si>
    <r>
      <t>(ZP</t>
    </r>
    <r>
      <rPr>
        <vertAlign val="subscript"/>
        <sz val="10"/>
        <color rgb="FF4D4D60"/>
        <rFont val="DIN-Regular"/>
        <family val="2"/>
      </rPr>
      <t xml:space="preserve"> i</t>
    </r>
    <r>
      <rPr>
        <sz val="10"/>
        <color rgb="FF4D4D60"/>
        <rFont val="DIN-Regular"/>
        <family val="2"/>
      </rPr>
      <t>)</t>
    </r>
  </si>
  <si>
    <r>
      <t xml:space="preserve">(L </t>
    </r>
    <r>
      <rPr>
        <vertAlign val="subscript"/>
        <sz val="10"/>
        <color rgb="FF4D4D60"/>
        <rFont val="DIN-Regular"/>
        <family val="2"/>
      </rPr>
      <t>i</t>
    </r>
    <r>
      <rPr>
        <sz val="10"/>
        <color rgb="FF4D4D60"/>
        <rFont val="DIN-Regular"/>
        <family val="2"/>
      </rPr>
      <t>)</t>
    </r>
  </si>
  <si>
    <r>
      <t xml:space="preserve">(LP </t>
    </r>
    <r>
      <rPr>
        <vertAlign val="subscript"/>
        <sz val="10"/>
        <color rgb="FF4D4D60"/>
        <rFont val="DIN-Regular"/>
        <family val="2"/>
      </rPr>
      <t>i</t>
    </r>
    <r>
      <rPr>
        <sz val="10"/>
        <color rgb="FF4D4D60"/>
        <rFont val="DIN-Regular"/>
        <family val="2"/>
      </rPr>
      <t>)</t>
    </r>
  </si>
  <si>
    <r>
      <rPr>
        <u/>
        <sz val="14"/>
        <color rgb="FF4D4D60"/>
        <rFont val="DIN-Regular"/>
        <family val="2"/>
      </rPr>
      <t xml:space="preserve">inkl. </t>
    </r>
    <r>
      <rPr>
        <sz val="14"/>
        <color rgb="FF4D4D60"/>
        <rFont val="DIN-Regular"/>
        <family val="2"/>
      </rPr>
      <t xml:space="preserve">Netzentgelt vorgel. Netze  </t>
    </r>
  </si>
  <si>
    <r>
      <t xml:space="preserve">Faktor
</t>
    </r>
    <r>
      <rPr>
        <sz val="9"/>
        <color rgb="FF4D4D60"/>
        <rFont val="DIN-Regular"/>
        <family val="2"/>
      </rPr>
      <t>(anteiliger Jahresleistungspreis)</t>
    </r>
  </si>
  <si>
    <t>Gültigkeit : 01.01.2020 bis 31.12.2020</t>
  </si>
  <si>
    <t>Beispiel im Preisblatt</t>
  </si>
  <si>
    <t>kWh/a</t>
  </si>
  <si>
    <t>AE =</t>
  </si>
  <si>
    <r>
      <t>ZP</t>
    </r>
    <r>
      <rPr>
        <vertAlign val="subscript"/>
        <sz val="10"/>
        <rFont val="DIN-Regular"/>
        <family val="2"/>
      </rPr>
      <t>3</t>
    </r>
    <r>
      <rPr>
        <sz val="10"/>
        <rFont val="DIN-Regular"/>
        <family val="2"/>
      </rPr>
      <t xml:space="preserve"> + (M – M</t>
    </r>
    <r>
      <rPr>
        <vertAlign val="subscript"/>
        <sz val="10"/>
        <rFont val="DIN-Regular"/>
        <family val="2"/>
      </rPr>
      <t>3</t>
    </r>
    <r>
      <rPr>
        <sz val="10"/>
        <rFont val="DIN-Regular"/>
        <family val="2"/>
      </rPr>
      <t>) * AP</t>
    </r>
    <r>
      <rPr>
        <vertAlign val="subscript"/>
        <sz val="10"/>
        <rFont val="DIN-Regular"/>
        <family val="2"/>
      </rPr>
      <t>3</t>
    </r>
    <r>
      <rPr>
        <sz val="10"/>
        <rFont val="DIN-Regular"/>
        <family val="2"/>
      </rPr>
      <t>/100 (€)</t>
    </r>
  </si>
  <si>
    <t>+</t>
  </si>
  <si>
    <t>LE =</t>
  </si>
  <si>
    <r>
      <t>ZP</t>
    </r>
    <r>
      <rPr>
        <sz val="8"/>
        <rFont val="DIN-Regular"/>
        <family val="2"/>
      </rPr>
      <t>2</t>
    </r>
    <r>
      <rPr>
        <sz val="10"/>
        <rFont val="DIN-Regular"/>
        <family val="2"/>
      </rPr>
      <t xml:space="preserve"> + (L - L </t>
    </r>
    <r>
      <rPr>
        <sz val="8"/>
        <rFont val="DIN-Regular"/>
        <family val="2"/>
      </rPr>
      <t>2</t>
    </r>
    <r>
      <rPr>
        <sz val="10"/>
        <rFont val="DIN-Regular"/>
        <family val="2"/>
      </rPr>
      <t>)* LP</t>
    </r>
    <r>
      <rPr>
        <sz val="8"/>
        <rFont val="DIN-Regular"/>
        <family val="2"/>
      </rPr>
      <t>2</t>
    </r>
    <r>
      <rPr>
        <sz val="10"/>
        <rFont val="DIN-Regular"/>
        <family val="2"/>
      </rPr>
      <t xml:space="preserve"> (€)</t>
    </r>
  </si>
  <si>
    <t>TE =</t>
  </si>
  <si>
    <t>AE + LE</t>
  </si>
  <si>
    <t xml:space="preserve">SLP </t>
  </si>
  <si>
    <t>=</t>
  </si>
  <si>
    <t>Summe =</t>
  </si>
  <si>
    <t>Jahreshöchstlast</t>
  </si>
  <si>
    <t>Zähler inkl.</t>
  </si>
  <si>
    <t>Entgeltrechner 2020</t>
  </si>
  <si>
    <t>Zählerfernauslesung Standard 
max. 3*täglich</t>
  </si>
  <si>
    <t>( nach Standard-Lastprofil bis ca. 1,5 Mio.kWh/a oder bis ca. 500 kWh/h/a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</si>
</sst>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.00\ &quot;€&quot;"/>
    <numFmt numFmtId="167" formatCode="_-* #,##0\ _€_-;\-* #,##0\ _€_-;_-* &quot;-&quot;??\ _€_-;_-@_-"/>
    <numFmt numFmtId="168" formatCode="#,##0.0000\ &quot;€&quot;"/>
    <numFmt numFmtId="169" formatCode="#,##0.00\ &quot;€/a&quot;"/>
    <numFmt numFmtId="170" formatCode="_-* #,##0.0000\ _€_-;\-* #,##0.0000\ _€_-;_-* &quot;-&quot;??\ _€_-;_-@_-"/>
    <numFmt numFmtId="171" formatCode="#,###\ &quot;h/a&quot;"/>
    <numFmt numFmtId="172" formatCode="0.0000\ &quot;ct/kWh&quot;"/>
    <numFmt numFmtId="173" formatCode="#,##0&quot; kWh&quot;"/>
    <numFmt numFmtId="174" formatCode="#,##0&quot; kWh/h&quot;"/>
    <numFmt numFmtId="175" formatCode="#,##0\ &quot;kWh&quot;"/>
    <numFmt numFmtId="176" formatCode="0.0000&quot; €/kWh/h&quot;"/>
    <numFmt numFmtId="177" formatCode="_-* #,##0.00\ [$€-407]_-;\-* #,##0.00\ [$€-407]_-;_-* &quot;-&quot;??\ [$€-407]_-;_-@_-"/>
    <numFmt numFmtId="178" formatCode="_(* #,##0_);_(* \(#,##0\);_(* &quot;-&quot;??_);_(@_)"/>
    <numFmt numFmtId="179" formatCode="_-* #,##0.0000\ [$€-407]_-;\-* #,##0.0000\ [$€-407]_-;_-* &quot;-&quot;??\ [$€-407]_-;_-@_-"/>
    <numFmt numFmtId="180" formatCode="0.00000"/>
    <numFmt numFmtId="181" formatCode="_-* #,##0.0000\ [$€-407]_-;\-* #,##0.0000\ [$€-407]_-;_-* &quot;-&quot;????\ [$€-407]_-;_-@_-"/>
    <numFmt numFmtId="182" formatCode="#,###.##\ &quot;€/a&quot;"/>
    <numFmt numFmtId="183" formatCode="#,###.##\ &quot;€/Monat&quot;"/>
    <numFmt numFmtId="184" formatCode="#,##0\ &quot;€&quot;"/>
    <numFmt numFmtId="185" formatCode="#,##0.0000"/>
  </numFmts>
  <fonts count="53" x14ac:knownFonts="1">
    <font>
      <sz val="10"/>
      <name val="DIN-Regular"/>
    </font>
    <font>
      <sz val="11"/>
      <color theme="1"/>
      <name val="Calibri"/>
      <family val="2"/>
      <scheme val="minor"/>
    </font>
    <font>
      <sz val="10"/>
      <color theme="1"/>
      <name val="DIN-Regular"/>
      <family val="2"/>
    </font>
    <font>
      <sz val="10"/>
      <name val="DIN-Regular"/>
      <family val="2"/>
    </font>
    <font>
      <sz val="8"/>
      <name val="DIN-Regula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DIN-Regular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4D4D60"/>
      <name val="DIN-Regular"/>
      <family val="2"/>
    </font>
    <font>
      <sz val="10"/>
      <color rgb="FF4D4D60"/>
      <name val="DIN-Regular"/>
      <family val="2"/>
    </font>
    <font>
      <sz val="12"/>
      <color rgb="FF4D4D60"/>
      <name val="DIN-Regular"/>
      <family val="2"/>
    </font>
    <font>
      <sz val="14"/>
      <color rgb="FF4D4D60"/>
      <name val="DIN-Regular"/>
      <family val="2"/>
    </font>
    <font>
      <sz val="9"/>
      <color rgb="FF4D4D60"/>
      <name val="DIN-Regular"/>
      <family val="2"/>
    </font>
    <font>
      <sz val="24"/>
      <color rgb="FF4D4D60"/>
      <name val="DIN-Regular"/>
      <family val="2"/>
    </font>
    <font>
      <u/>
      <sz val="14"/>
      <color rgb="FF4D4D60"/>
      <name val="DIN-Regular"/>
      <family val="2"/>
    </font>
    <font>
      <u/>
      <sz val="10"/>
      <color rgb="FF4D4D60"/>
      <name val="DIN-Regular"/>
      <family val="2"/>
    </font>
    <font>
      <sz val="10"/>
      <color rgb="FFFF0000"/>
      <name val="DIN-Regular"/>
      <family val="2"/>
    </font>
    <font>
      <sz val="16"/>
      <color rgb="FF4D4D60"/>
      <name val="DIN-Regular"/>
      <family val="2"/>
    </font>
    <font>
      <b/>
      <u/>
      <sz val="12"/>
      <color rgb="FF4D4D60"/>
      <name val="DIN-Regular"/>
      <family val="2"/>
    </font>
    <font>
      <b/>
      <sz val="12"/>
      <color rgb="FF4D4D60"/>
      <name val="DIN-Regular"/>
      <family val="2"/>
    </font>
    <font>
      <sz val="8"/>
      <color rgb="FF4D4D60"/>
      <name val="DIN-Regular"/>
      <family val="2"/>
    </font>
    <font>
      <sz val="20"/>
      <color rgb="FF4D4D60"/>
      <name val="DIN-Regular"/>
      <family val="2"/>
    </font>
    <font>
      <b/>
      <sz val="14"/>
      <color rgb="FF4D4D60"/>
      <name val="DIN-Regular"/>
      <family val="2"/>
    </font>
    <font>
      <b/>
      <sz val="10"/>
      <color rgb="FF4D4D60"/>
      <name val="DIN-Regular"/>
      <family val="2"/>
    </font>
    <font>
      <b/>
      <u/>
      <sz val="10"/>
      <color rgb="FF4D4D60"/>
      <name val="DIN-Regular"/>
      <family val="2"/>
    </font>
    <font>
      <vertAlign val="subscript"/>
      <sz val="10"/>
      <color rgb="FF4D4D60"/>
      <name val="DIN-Regular"/>
      <family val="2"/>
    </font>
    <font>
      <vertAlign val="subscript"/>
      <sz val="10"/>
      <name val="DIN-Regular"/>
      <family val="2"/>
    </font>
    <font>
      <b/>
      <sz val="11"/>
      <name val="DIN-Regular"/>
      <family val="2"/>
    </font>
    <font>
      <sz val="12"/>
      <name val="DIN-Regular"/>
      <family val="2"/>
    </font>
    <font>
      <sz val="11"/>
      <name val="DIN-Regular"/>
      <family val="2"/>
    </font>
    <font>
      <b/>
      <sz val="10"/>
      <name val="DIN-Regular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EAEAEF"/>
        <bgColor indexed="64"/>
      </patternFill>
    </fill>
    <fill>
      <patternFill patternType="solid">
        <fgColor theme="6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ECC00"/>
        <bgColor indexed="64"/>
      </patternFill>
    </fill>
    <fill>
      <patternFill patternType="solid">
        <fgColor theme="6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  <border>
      <left style="medium">
        <color rgb="FF4D4D60"/>
      </left>
      <right style="medium">
        <color rgb="FF4D4D60"/>
      </right>
      <top style="medium">
        <color rgb="FF4D4D60"/>
      </top>
      <bottom style="medium">
        <color rgb="FF4D4D60"/>
      </bottom>
      <diagonal/>
    </border>
    <border>
      <left style="medium">
        <color rgb="FF4D4D60"/>
      </left>
      <right style="thin">
        <color rgb="FF4D4D60"/>
      </right>
      <top style="medium">
        <color rgb="FF4D4D60"/>
      </top>
      <bottom style="medium">
        <color rgb="FF4D4D60"/>
      </bottom>
      <diagonal/>
    </border>
    <border>
      <left style="thin">
        <color rgb="FF4D4D60"/>
      </left>
      <right style="thin">
        <color rgb="FF4D4D60"/>
      </right>
      <top style="medium">
        <color rgb="FF4D4D60"/>
      </top>
      <bottom style="medium">
        <color rgb="FF4D4D60"/>
      </bottom>
      <diagonal/>
    </border>
    <border>
      <left style="medium">
        <color rgb="FF4D4D60"/>
      </left>
      <right style="thin">
        <color rgb="FF4D4D60"/>
      </right>
      <top style="medium">
        <color rgb="FF4D4D60"/>
      </top>
      <bottom style="thin">
        <color rgb="FF4D4D60"/>
      </bottom>
      <diagonal/>
    </border>
    <border>
      <left style="thin">
        <color rgb="FF4D4D60"/>
      </left>
      <right style="thin">
        <color rgb="FF4D4D60"/>
      </right>
      <top style="medium">
        <color rgb="FF4D4D60"/>
      </top>
      <bottom style="thin">
        <color rgb="FF4D4D60"/>
      </bottom>
      <diagonal/>
    </border>
    <border>
      <left style="thin">
        <color rgb="FF4D4D60"/>
      </left>
      <right style="medium">
        <color rgb="FF4D4D60"/>
      </right>
      <top style="medium">
        <color rgb="FF4D4D60"/>
      </top>
      <bottom style="thin">
        <color rgb="FF4D4D60"/>
      </bottom>
      <diagonal/>
    </border>
    <border>
      <left style="medium">
        <color rgb="FF4D4D60"/>
      </left>
      <right style="thin">
        <color rgb="FF4D4D60"/>
      </right>
      <top style="thin">
        <color rgb="FF4D4D60"/>
      </top>
      <bottom style="thin">
        <color rgb="FF4D4D60"/>
      </bottom>
      <diagonal/>
    </border>
    <border>
      <left style="thin">
        <color rgb="FF4D4D60"/>
      </left>
      <right style="thin">
        <color rgb="FF4D4D60"/>
      </right>
      <top style="thin">
        <color rgb="FF4D4D60"/>
      </top>
      <bottom style="thin">
        <color rgb="FF4D4D60"/>
      </bottom>
      <diagonal/>
    </border>
    <border>
      <left style="thin">
        <color rgb="FF4D4D60"/>
      </left>
      <right style="medium">
        <color rgb="FF4D4D60"/>
      </right>
      <top style="thin">
        <color rgb="FF4D4D60"/>
      </top>
      <bottom style="thin">
        <color rgb="FF4D4D60"/>
      </bottom>
      <diagonal/>
    </border>
    <border>
      <left style="medium">
        <color rgb="FF4D4D60"/>
      </left>
      <right style="thin">
        <color rgb="FF4D4D60"/>
      </right>
      <top style="thin">
        <color rgb="FF4D4D60"/>
      </top>
      <bottom style="medium">
        <color rgb="FF4D4D60"/>
      </bottom>
      <diagonal/>
    </border>
    <border>
      <left style="thin">
        <color rgb="FF4D4D60"/>
      </left>
      <right style="thin">
        <color rgb="FF4D4D60"/>
      </right>
      <top style="thin">
        <color rgb="FF4D4D60"/>
      </top>
      <bottom style="medium">
        <color rgb="FF4D4D60"/>
      </bottom>
      <diagonal/>
    </border>
    <border>
      <left style="thin">
        <color rgb="FF4D4D60"/>
      </left>
      <right style="medium">
        <color rgb="FF4D4D60"/>
      </right>
      <top style="thin">
        <color rgb="FF4D4D60"/>
      </top>
      <bottom style="medium">
        <color rgb="FF4D4D60"/>
      </bottom>
      <diagonal/>
    </border>
    <border>
      <left style="thin">
        <color rgb="FF4D4D60"/>
      </left>
      <right/>
      <top style="medium">
        <color rgb="FF4D4D60"/>
      </top>
      <bottom style="medium">
        <color rgb="FF4D4D60"/>
      </bottom>
      <diagonal/>
    </border>
    <border>
      <left/>
      <right/>
      <top style="medium">
        <color rgb="FF4D4D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4D4D60"/>
      </right>
      <top style="thin">
        <color indexed="64"/>
      </top>
      <bottom style="thin">
        <color indexed="64"/>
      </bottom>
      <diagonal/>
    </border>
    <border>
      <left style="thin">
        <color rgb="FF4D4D60"/>
      </left>
      <right style="thin">
        <color rgb="FF4D4D60"/>
      </right>
      <top style="thin">
        <color indexed="64"/>
      </top>
      <bottom style="thin">
        <color indexed="64"/>
      </bottom>
      <diagonal/>
    </border>
    <border>
      <left style="thin">
        <color rgb="FF4D4D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D4D60"/>
      </left>
      <right style="medium">
        <color rgb="FF4D4D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rgb="FF4D4D60"/>
      </left>
      <right/>
      <top style="medium">
        <color rgb="FF4D4D60"/>
      </top>
      <bottom style="medium">
        <color rgb="FF4D4D60"/>
      </bottom>
      <diagonal/>
    </border>
    <border>
      <left/>
      <right/>
      <top style="medium">
        <color rgb="FF4D4D60"/>
      </top>
      <bottom style="medium">
        <color rgb="FF4D4D60"/>
      </bottom>
      <diagonal/>
    </border>
    <border>
      <left/>
      <right style="medium">
        <color rgb="FF4D4D60"/>
      </right>
      <top style="medium">
        <color rgb="FF4D4D60"/>
      </top>
      <bottom style="medium">
        <color rgb="FF4D4D60"/>
      </bottom>
      <diagonal/>
    </border>
    <border>
      <left/>
      <right style="thin">
        <color rgb="FF4D4D60"/>
      </right>
      <top style="medium">
        <color rgb="FF4D4D60"/>
      </top>
      <bottom/>
      <diagonal/>
    </border>
    <border>
      <left/>
      <right style="thin">
        <color rgb="FF4D4D60"/>
      </right>
      <top/>
      <bottom style="medium">
        <color rgb="FF4D4D60"/>
      </bottom>
      <diagonal/>
    </border>
    <border>
      <left style="medium">
        <color auto="1"/>
      </left>
      <right style="thin">
        <color rgb="FF4D4D60"/>
      </right>
      <top style="medium">
        <color rgb="FF4D4D60"/>
      </top>
      <bottom style="medium">
        <color rgb="FF4D4D60"/>
      </bottom>
      <diagonal/>
    </border>
    <border>
      <left style="thin">
        <color rgb="FF4D4D60"/>
      </left>
      <right style="medium">
        <color auto="1"/>
      </right>
      <top style="medium">
        <color rgb="FF4D4D60"/>
      </top>
      <bottom style="medium">
        <color rgb="FF4D4D60"/>
      </bottom>
      <diagonal/>
    </border>
    <border>
      <left style="thin">
        <color rgb="FF4D4D60"/>
      </left>
      <right/>
      <top style="medium">
        <color rgb="FF4D4D60"/>
      </top>
      <bottom/>
      <diagonal/>
    </border>
    <border>
      <left style="thin">
        <color rgb="FF4D4D60"/>
      </left>
      <right/>
      <top/>
      <bottom style="medium">
        <color rgb="FF4D4D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4D4D60"/>
      </right>
      <top style="thin">
        <color indexed="64"/>
      </top>
      <bottom style="thin">
        <color indexed="64"/>
      </bottom>
      <diagonal/>
    </border>
    <border>
      <left style="medium">
        <color rgb="FF4D4D60"/>
      </left>
      <right style="medium">
        <color rgb="FF4D4D60"/>
      </right>
      <top/>
      <bottom style="medium">
        <color rgb="FF4D4D60"/>
      </bottom>
      <diagonal/>
    </border>
    <border>
      <left style="medium">
        <color rgb="FF4D4D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4D4D60"/>
      </top>
      <bottom style="double">
        <color rgb="FF4D4D6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13" fillId="4" borderId="0" applyNumberFormat="0" applyBorder="0" applyAlignment="0" applyProtection="0"/>
    <xf numFmtId="165" fontId="3" fillId="0" borderId="0" applyFont="0" applyFill="0" applyBorder="0" applyAlignment="0" applyProtection="0"/>
    <xf numFmtId="0" fontId="14" fillId="21" borderId="0" applyNumberFormat="0" applyBorder="0" applyAlignment="0" applyProtection="0"/>
    <xf numFmtId="0" fontId="12" fillId="22" borderId="4" applyNumberFormat="0" applyFont="0" applyAlignment="0" applyProtection="0"/>
    <xf numFmtId="4" fontId="23" fillId="23" borderId="1" applyNumberFormat="0" applyProtection="0">
      <alignment vertical="center"/>
    </xf>
    <xf numFmtId="4" fontId="23" fillId="23" borderId="1" applyNumberFormat="0" applyProtection="0">
      <alignment horizontal="left" vertical="center" indent="1"/>
    </xf>
    <xf numFmtId="0" fontId="12" fillId="24" borderId="1" applyNumberFormat="0" applyProtection="0">
      <alignment horizontal="left" vertical="center" indent="1"/>
    </xf>
    <xf numFmtId="0" fontId="12" fillId="24" borderId="1" applyNumberFormat="0" applyProtection="0">
      <alignment horizontal="left" vertical="center" indent="1"/>
    </xf>
    <xf numFmtId="0" fontId="12" fillId="24" borderId="1" applyNumberFormat="0" applyProtection="0">
      <alignment horizontal="left" vertical="center" indent="1"/>
    </xf>
    <xf numFmtId="0" fontId="15" fillId="3" borderId="0" applyNumberFormat="0" applyBorder="0" applyAlignment="0" applyProtection="0"/>
    <xf numFmtId="0" fontId="12" fillId="0" borderId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6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9" applyNumberForma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0" borderId="0"/>
    <xf numFmtId="165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6" borderId="0" applyNumberFormat="0" applyBorder="0" applyAlignment="0" applyProtection="0"/>
    <xf numFmtId="0" fontId="8" fillId="20" borderId="2" applyNumberFormat="0" applyAlignment="0" applyProtection="0"/>
    <xf numFmtId="164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0"/>
    <xf numFmtId="165" fontId="12" fillId="0" borderId="0" applyFont="0" applyFill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12" fillId="0" borderId="0"/>
  </cellStyleXfs>
  <cellXfs count="368">
    <xf numFmtId="0" fontId="0" fillId="0" borderId="0" xfId="0"/>
    <xf numFmtId="169" fontId="30" fillId="0" borderId="0" xfId="0" applyNumberFormat="1" applyFont="1" applyFill="1" applyAlignment="1">
      <alignment vertical="center" shrinkToFit="1"/>
    </xf>
    <xf numFmtId="0" fontId="31" fillId="0" borderId="0" xfId="0" applyFont="1"/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/>
    <xf numFmtId="169" fontId="31" fillId="0" borderId="0" xfId="0" applyNumberFormat="1" applyFont="1" applyFill="1" applyAlignment="1">
      <alignment vertical="center" shrinkToFit="1"/>
    </xf>
    <xf numFmtId="0" fontId="33" fillId="0" borderId="0" xfId="51" applyFont="1" applyFill="1" applyBorder="1" applyAlignment="1">
      <alignment vertical="center"/>
    </xf>
    <xf numFmtId="0" fontId="31" fillId="0" borderId="0" xfId="51" applyFont="1" applyFill="1" applyAlignment="1">
      <alignment vertical="center"/>
    </xf>
    <xf numFmtId="0" fontId="31" fillId="0" borderId="0" xfId="51" applyFont="1" applyFill="1" applyBorder="1" applyAlignment="1">
      <alignment vertical="center"/>
    </xf>
    <xf numFmtId="0" fontId="32" fillId="0" borderId="0" xfId="0" applyFont="1" applyFill="1" applyAlignment="1">
      <alignment horizontal="right" vertical="center"/>
    </xf>
    <xf numFmtId="0" fontId="37" fillId="0" borderId="0" xfId="63" applyFont="1" applyAlignment="1">
      <alignment vertical="center"/>
    </xf>
    <xf numFmtId="0" fontId="31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horizontal="right" vertical="center"/>
    </xf>
    <xf numFmtId="178" fontId="30" fillId="28" borderId="12" xfId="32" applyNumberFormat="1" applyFont="1" applyFill="1" applyBorder="1" applyAlignment="1" applyProtection="1">
      <alignment vertical="center"/>
      <protection locked="0"/>
    </xf>
    <xf numFmtId="169" fontId="39" fillId="28" borderId="50" xfId="0" applyNumberFormat="1" applyFont="1" applyFill="1" applyBorder="1" applyAlignment="1" applyProtection="1">
      <alignment horizontal="center" vertical="center" wrapText="1" shrinkToFit="1"/>
      <protection locked="0"/>
    </xf>
    <xf numFmtId="165" fontId="30" fillId="28" borderId="72" xfId="32" applyFont="1" applyFill="1" applyBorder="1" applyAlignment="1" applyProtection="1">
      <alignment horizontal="right" vertical="center" shrinkToFit="1"/>
      <protection locked="0"/>
    </xf>
    <xf numFmtId="171" fontId="31" fillId="0" borderId="0" xfId="30" applyNumberFormat="1" applyFont="1" applyFill="1" applyAlignment="1">
      <alignment vertical="center" wrapText="1"/>
    </xf>
    <xf numFmtId="169" fontId="31" fillId="0" borderId="50" xfId="0" applyNumberFormat="1" applyFont="1" applyFill="1" applyBorder="1" applyAlignment="1">
      <alignment horizontal="center" vertical="center" wrapText="1" shrinkToFit="1"/>
    </xf>
    <xf numFmtId="0" fontId="33" fillId="0" borderId="33" xfId="0" applyFont="1" applyFill="1" applyBorder="1" applyAlignment="1">
      <alignment vertical="center"/>
    </xf>
    <xf numFmtId="0" fontId="30" fillId="0" borderId="34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32" fillId="0" borderId="29" xfId="0" applyFont="1" applyFill="1" applyBorder="1" applyAlignment="1" applyProtection="1">
      <alignment vertical="center"/>
      <protection locked="0"/>
    </xf>
    <xf numFmtId="169" fontId="32" fillId="0" borderId="32" xfId="0" applyNumberFormat="1" applyFont="1" applyFill="1" applyBorder="1" applyAlignment="1">
      <alignment vertical="center" shrinkToFit="1"/>
    </xf>
    <xf numFmtId="166" fontId="31" fillId="0" borderId="14" xfId="0" applyNumberFormat="1" applyFont="1" applyFill="1" applyBorder="1" applyAlignment="1">
      <alignment horizontal="center" vertical="center"/>
    </xf>
    <xf numFmtId="166" fontId="31" fillId="0" borderId="50" xfId="0" applyNumberFormat="1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164" fontId="31" fillId="0" borderId="29" xfId="48" applyFont="1" applyFill="1" applyBorder="1" applyAlignment="1">
      <alignment horizontal="center" vertical="center"/>
    </xf>
    <xf numFmtId="169" fontId="31" fillId="0" borderId="50" xfId="0" applyNumberFormat="1" applyFont="1" applyFill="1" applyBorder="1" applyAlignment="1">
      <alignment horizontal="center" vertical="center" shrinkToFit="1"/>
    </xf>
    <xf numFmtId="3" fontId="31" fillId="0" borderId="59" xfId="0" applyNumberFormat="1" applyFont="1" applyFill="1" applyBorder="1" applyAlignment="1">
      <alignment vertical="center"/>
    </xf>
    <xf numFmtId="166" fontId="31" fillId="0" borderId="59" xfId="0" applyNumberFormat="1" applyFont="1" applyFill="1" applyBorder="1" applyAlignment="1">
      <alignment vertical="center"/>
    </xf>
    <xf numFmtId="168" fontId="31" fillId="0" borderId="59" xfId="0" applyNumberFormat="1" applyFont="1" applyFill="1" applyBorder="1" applyAlignment="1">
      <alignment vertical="center"/>
    </xf>
    <xf numFmtId="164" fontId="31" fillId="0" borderId="59" xfId="48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164" fontId="31" fillId="0" borderId="0" xfId="48" applyFont="1" applyFill="1" applyBorder="1" applyAlignment="1">
      <alignment vertical="center"/>
    </xf>
    <xf numFmtId="0" fontId="40" fillId="0" borderId="69" xfId="0" applyFont="1" applyFill="1" applyBorder="1" applyAlignment="1">
      <alignment vertical="center"/>
    </xf>
    <xf numFmtId="0" fontId="40" fillId="0" borderId="70" xfId="0" applyFont="1" applyFill="1" applyBorder="1" applyAlignment="1">
      <alignment vertical="center"/>
    </xf>
    <xf numFmtId="177" fontId="40" fillId="0" borderId="59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 shrinkToFi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shrinkToFit="1"/>
    </xf>
    <xf numFmtId="0" fontId="40" fillId="0" borderId="56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7" fontId="30" fillId="0" borderId="0" xfId="32" applyNumberFormat="1" applyFont="1" applyFill="1" applyAlignment="1">
      <alignment vertical="center"/>
    </xf>
    <xf numFmtId="0" fontId="31" fillId="0" borderId="0" xfId="0" applyFont="1" applyAlignment="1">
      <alignment horizontal="right" vertical="center"/>
    </xf>
    <xf numFmtId="167" fontId="31" fillId="0" borderId="0" xfId="0" applyNumberFormat="1" applyFont="1" applyAlignment="1">
      <alignment horizontal="center" vertical="center"/>
    </xf>
    <xf numFmtId="167" fontId="31" fillId="0" borderId="0" xfId="32" applyNumberFormat="1" applyFont="1" applyAlignment="1">
      <alignment vertical="center"/>
    </xf>
    <xf numFmtId="177" fontId="31" fillId="0" borderId="35" xfId="48" applyNumberFormat="1" applyFont="1" applyBorder="1" applyAlignment="1">
      <alignment vertical="center"/>
    </xf>
    <xf numFmtId="177" fontId="41" fillId="0" borderId="50" xfId="26" applyNumberFormat="1" applyFont="1" applyFill="1" applyBorder="1" applyAlignment="1">
      <alignment vertical="center" shrinkToFit="1"/>
    </xf>
    <xf numFmtId="0" fontId="32" fillId="0" borderId="0" xfId="0" applyFont="1" applyAlignment="1">
      <alignment vertical="center" shrinkToFit="1"/>
    </xf>
    <xf numFmtId="0" fontId="31" fillId="0" borderId="0" xfId="0" applyFont="1" applyFill="1" applyAlignment="1">
      <alignment vertical="center" shrinkToFit="1"/>
    </xf>
    <xf numFmtId="165" fontId="30" fillId="0" borderId="0" xfId="32" applyFont="1" applyFill="1" applyAlignment="1">
      <alignment vertical="center"/>
    </xf>
    <xf numFmtId="0" fontId="31" fillId="0" borderId="0" xfId="0" applyFont="1" applyAlignment="1">
      <alignment horizontal="center" vertical="center"/>
    </xf>
    <xf numFmtId="170" fontId="31" fillId="0" borderId="0" xfId="32" applyNumberFormat="1" applyFont="1" applyAlignment="1">
      <alignment vertical="center"/>
    </xf>
    <xf numFmtId="170" fontId="31" fillId="0" borderId="0" xfId="0" applyNumberFormat="1" applyFont="1" applyFill="1" applyAlignment="1">
      <alignment vertical="center"/>
    </xf>
    <xf numFmtId="170" fontId="31" fillId="0" borderId="0" xfId="0" applyNumberFormat="1" applyFont="1" applyAlignment="1">
      <alignment vertical="center" shrinkToFit="1"/>
    </xf>
    <xf numFmtId="182" fontId="41" fillId="0" borderId="50" xfId="26" applyNumberFormat="1" applyFont="1" applyFill="1" applyBorder="1" applyAlignment="1">
      <alignment vertical="center" shrinkToFit="1"/>
    </xf>
    <xf numFmtId="183" fontId="41" fillId="0" borderId="50" xfId="26" applyNumberFormat="1" applyFont="1" applyFill="1" applyBorder="1" applyAlignment="1">
      <alignment vertical="center" shrinkToFit="1"/>
    </xf>
    <xf numFmtId="0" fontId="33" fillId="0" borderId="26" xfId="0" applyFont="1" applyFill="1" applyBorder="1" applyAlignment="1">
      <alignment vertical="center"/>
    </xf>
    <xf numFmtId="0" fontId="30" fillId="0" borderId="27" xfId="0" applyFont="1" applyFill="1" applyBorder="1" applyAlignment="1">
      <alignment vertical="center"/>
    </xf>
    <xf numFmtId="169" fontId="30" fillId="0" borderId="0" xfId="0" applyNumberFormat="1" applyFont="1" applyFill="1" applyAlignment="1">
      <alignment horizontal="right" vertical="center" shrinkToFit="1"/>
    </xf>
    <xf numFmtId="0" fontId="39" fillId="28" borderId="50" xfId="0" applyFont="1" applyFill="1" applyBorder="1" applyAlignment="1" applyProtection="1">
      <alignment horizontal="center" vertical="center"/>
      <protection locked="0"/>
    </xf>
    <xf numFmtId="169" fontId="33" fillId="0" borderId="50" xfId="0" applyNumberFormat="1" applyFont="1" applyFill="1" applyBorder="1" applyAlignment="1">
      <alignment vertical="center" shrinkToFit="1"/>
    </xf>
    <xf numFmtId="169" fontId="33" fillId="0" borderId="0" xfId="0" applyNumberFormat="1" applyFont="1" applyFill="1" applyBorder="1" applyAlignment="1">
      <alignment vertical="center" shrinkToFit="1"/>
    </xf>
    <xf numFmtId="0" fontId="31" fillId="0" borderId="0" xfId="0" quotePrefix="1" applyFont="1" applyFill="1" applyAlignment="1">
      <alignment vertical="center"/>
    </xf>
    <xf numFmtId="0" fontId="39" fillId="0" borderId="50" xfId="0" applyFont="1" applyFill="1" applyBorder="1" applyAlignment="1" applyProtection="1">
      <alignment horizontal="center" vertical="center"/>
    </xf>
    <xf numFmtId="169" fontId="33" fillId="0" borderId="59" xfId="0" applyNumberFormat="1" applyFont="1" applyFill="1" applyBorder="1" applyAlignment="1">
      <alignment vertical="center" shrinkToFit="1"/>
    </xf>
    <xf numFmtId="0" fontId="42" fillId="28" borderId="59" xfId="0" applyFont="1" applyFill="1" applyBorder="1" applyAlignment="1" applyProtection="1">
      <alignment horizontal="center" vertical="center" wrapText="1"/>
      <protection locked="0"/>
    </xf>
    <xf numFmtId="169" fontId="33" fillId="0" borderId="32" xfId="0" applyNumberFormat="1" applyFont="1" applyFill="1" applyBorder="1" applyAlignment="1">
      <alignment vertical="center" shrinkToFit="1"/>
    </xf>
    <xf numFmtId="0" fontId="43" fillId="0" borderId="54" xfId="0" applyFont="1" applyFill="1" applyBorder="1" applyAlignment="1">
      <alignment horizontal="center" vertical="center"/>
    </xf>
    <xf numFmtId="169" fontId="36" fillId="0" borderId="73" xfId="0" quotePrefix="1" applyNumberFormat="1" applyFont="1" applyFill="1" applyBorder="1" applyAlignment="1">
      <alignment vertical="center" shrinkToFi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  <xf numFmtId="169" fontId="36" fillId="0" borderId="0" xfId="0" quotePrefix="1" applyNumberFormat="1" applyFont="1" applyFill="1" applyBorder="1" applyAlignment="1">
      <alignment vertical="center" shrinkToFit="1"/>
    </xf>
    <xf numFmtId="0" fontId="39" fillId="0" borderId="0" xfId="0" applyFont="1" applyFill="1" applyAlignment="1">
      <alignment vertical="center"/>
    </xf>
    <xf numFmtId="0" fontId="41" fillId="0" borderId="0" xfId="41" applyFont="1" applyAlignment="1">
      <alignment vertical="center"/>
    </xf>
    <xf numFmtId="0" fontId="32" fillId="0" borderId="0" xfId="41" applyFont="1" applyAlignment="1">
      <alignment vertical="center"/>
    </xf>
    <xf numFmtId="0" fontId="32" fillId="0" borderId="0" xfId="0" applyFont="1" applyAlignment="1">
      <alignment vertical="center"/>
    </xf>
    <xf numFmtId="0" fontId="32" fillId="28" borderId="12" xfId="0" applyFont="1" applyFill="1" applyBorder="1" applyAlignment="1">
      <alignment vertical="center"/>
    </xf>
    <xf numFmtId="0" fontId="32" fillId="28" borderId="10" xfId="0" applyFont="1" applyFill="1" applyBorder="1" applyAlignment="1">
      <alignment vertical="center"/>
    </xf>
    <xf numFmtId="166" fontId="32" fillId="28" borderId="23" xfId="0" applyNumberFormat="1" applyFont="1" applyFill="1" applyBorder="1" applyAlignment="1">
      <alignment vertical="center"/>
    </xf>
    <xf numFmtId="0" fontId="32" fillId="0" borderId="20" xfId="0" applyFont="1" applyFill="1" applyBorder="1" applyAlignment="1">
      <alignment horizontal="right" vertical="center"/>
    </xf>
    <xf numFmtId="166" fontId="32" fillId="0" borderId="15" xfId="0" applyNumberFormat="1" applyFont="1" applyBorder="1" applyAlignment="1">
      <alignment vertical="center"/>
    </xf>
    <xf numFmtId="166" fontId="32" fillId="0" borderId="20" xfId="0" applyNumberFormat="1" applyFont="1" applyBorder="1" applyAlignment="1">
      <alignment vertical="center"/>
    </xf>
    <xf numFmtId="0" fontId="32" fillId="0" borderId="22" xfId="0" applyFont="1" applyFill="1" applyBorder="1" applyAlignment="1">
      <alignment horizontal="right" vertical="center"/>
    </xf>
    <xf numFmtId="166" fontId="32" fillId="0" borderId="16" xfId="0" applyNumberFormat="1" applyFont="1" applyBorder="1" applyAlignment="1">
      <alignment vertical="center"/>
    </xf>
    <xf numFmtId="166" fontId="32" fillId="0" borderId="22" xfId="0" applyNumberFormat="1" applyFont="1" applyBorder="1" applyAlignment="1">
      <alignment vertical="center"/>
    </xf>
    <xf numFmtId="166" fontId="32" fillId="0" borderId="17" xfId="0" applyNumberFormat="1" applyFont="1" applyBorder="1" applyAlignment="1">
      <alignment vertical="center"/>
    </xf>
    <xf numFmtId="166" fontId="32" fillId="0" borderId="21" xfId="0" applyNumberFormat="1" applyFont="1" applyBorder="1" applyAlignment="1">
      <alignment vertical="center"/>
    </xf>
    <xf numFmtId="166" fontId="32" fillId="0" borderId="18" xfId="0" applyNumberFormat="1" applyFont="1" applyBorder="1" applyAlignment="1">
      <alignment vertical="center"/>
    </xf>
    <xf numFmtId="0" fontId="32" fillId="0" borderId="21" xfId="0" applyFont="1" applyFill="1" applyBorder="1" applyAlignment="1">
      <alignment horizontal="right" vertical="center"/>
    </xf>
    <xf numFmtId="0" fontId="32" fillId="0" borderId="20" xfId="0" applyFont="1" applyBorder="1" applyAlignment="1">
      <alignment horizontal="right" vertical="center"/>
    </xf>
    <xf numFmtId="166" fontId="32" fillId="0" borderId="19" xfId="0" applyNumberFormat="1" applyFont="1" applyBorder="1" applyAlignment="1">
      <alignment vertical="center"/>
    </xf>
    <xf numFmtId="0" fontId="32" fillId="0" borderId="22" xfId="0" applyFont="1" applyBorder="1" applyAlignment="1">
      <alignment horizontal="right" vertical="center"/>
    </xf>
    <xf numFmtId="0" fontId="32" fillId="0" borderId="74" xfId="0" applyFont="1" applyFill="1" applyBorder="1" applyAlignment="1">
      <alignment horizontal="right" vertical="center" wrapText="1"/>
    </xf>
    <xf numFmtId="0" fontId="32" fillId="0" borderId="75" xfId="0" applyFont="1" applyFill="1" applyBorder="1" applyAlignment="1">
      <alignment horizontal="right" vertical="center"/>
    </xf>
    <xf numFmtId="0" fontId="32" fillId="0" borderId="22" xfId="0" applyFont="1" applyBorder="1" applyAlignment="1">
      <alignment horizontal="center" vertical="center"/>
    </xf>
    <xf numFmtId="0" fontId="32" fillId="0" borderId="75" xfId="0" applyFont="1" applyFill="1" applyBorder="1" applyAlignment="1">
      <alignment horizontal="right" vertical="center" wrapText="1"/>
    </xf>
    <xf numFmtId="0" fontId="32" fillId="0" borderId="0" xfId="0" applyFont="1" applyAlignment="1">
      <alignment vertical="center" wrapText="1"/>
    </xf>
    <xf numFmtId="0" fontId="32" fillId="0" borderId="33" xfId="0" applyFont="1" applyFill="1" applyBorder="1" applyAlignment="1">
      <alignment horizontal="right" vertical="center"/>
    </xf>
    <xf numFmtId="0" fontId="32" fillId="0" borderId="21" xfId="0" applyFont="1" applyBorder="1" applyAlignment="1">
      <alignment horizontal="center" vertical="center"/>
    </xf>
    <xf numFmtId="166" fontId="32" fillId="0" borderId="76" xfId="0" applyNumberFormat="1" applyFont="1" applyBorder="1" applyAlignment="1">
      <alignment vertical="center"/>
    </xf>
    <xf numFmtId="166" fontId="32" fillId="0" borderId="0" xfId="0" applyNumberFormat="1" applyFont="1" applyAlignment="1">
      <alignment vertical="center"/>
    </xf>
    <xf numFmtId="169" fontId="32" fillId="0" borderId="76" xfId="0" applyNumberFormat="1" applyFont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14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32" fillId="0" borderId="13" xfId="0" applyFont="1" applyFill="1" applyBorder="1" applyAlignment="1">
      <alignment horizontal="left" vertical="center"/>
    </xf>
    <xf numFmtId="0" fontId="32" fillId="0" borderId="24" xfId="0" applyFont="1" applyBorder="1" applyAlignment="1">
      <alignment vertical="center"/>
    </xf>
    <xf numFmtId="169" fontId="32" fillId="0" borderId="25" xfId="0" applyNumberFormat="1" applyFont="1" applyBorder="1" applyAlignment="1">
      <alignment vertical="center"/>
    </xf>
    <xf numFmtId="0" fontId="32" fillId="0" borderId="30" xfId="0" applyFont="1" applyFill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169" fontId="32" fillId="0" borderId="3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30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32" fillId="0" borderId="27" xfId="0" applyFont="1" applyBorder="1" applyAlignment="1">
      <alignment vertical="center"/>
    </xf>
    <xf numFmtId="169" fontId="32" fillId="0" borderId="28" xfId="0" applyNumberFormat="1" applyFont="1" applyBorder="1" applyAlignment="1">
      <alignment vertical="center"/>
    </xf>
    <xf numFmtId="0" fontId="32" fillId="0" borderId="29" xfId="0" applyFont="1" applyBorder="1" applyAlignment="1">
      <alignment horizontal="right" vertical="center"/>
    </xf>
    <xf numFmtId="0" fontId="32" fillId="0" borderId="59" xfId="0" applyFont="1" applyBorder="1" applyAlignment="1">
      <alignment vertical="center"/>
    </xf>
    <xf numFmtId="0" fontId="44" fillId="28" borderId="37" xfId="0" applyFont="1" applyFill="1" applyBorder="1" applyAlignment="1">
      <alignment vertical="center"/>
    </xf>
    <xf numFmtId="0" fontId="31" fillId="28" borderId="38" xfId="0" applyFont="1" applyFill="1" applyBorder="1"/>
    <xf numFmtId="0" fontId="31" fillId="28" borderId="48" xfId="0" applyFont="1" applyFill="1" applyBorder="1"/>
    <xf numFmtId="0" fontId="44" fillId="28" borderId="36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31" fillId="0" borderId="0" xfId="0" applyFont="1" applyFill="1"/>
    <xf numFmtId="169" fontId="31" fillId="0" borderId="0" xfId="0" applyNumberFormat="1" applyFont="1" applyFill="1"/>
    <xf numFmtId="0" fontId="31" fillId="28" borderId="39" xfId="0" applyFont="1" applyFill="1" applyBorder="1" applyAlignment="1">
      <alignment horizontal="center" vertical="center"/>
    </xf>
    <xf numFmtId="0" fontId="31" fillId="28" borderId="40" xfId="0" applyFont="1" applyFill="1" applyBorder="1" applyAlignment="1">
      <alignment horizontal="center" vertical="center"/>
    </xf>
    <xf numFmtId="0" fontId="31" fillId="28" borderId="40" xfId="0" applyFont="1" applyFill="1" applyBorder="1" applyAlignment="1">
      <alignment horizontal="center" vertical="center" wrapText="1"/>
    </xf>
    <xf numFmtId="0" fontId="31" fillId="28" borderId="41" xfId="0" applyFont="1" applyFill="1" applyBorder="1" applyAlignment="1">
      <alignment horizontal="center" vertical="center" wrapText="1"/>
    </xf>
    <xf numFmtId="0" fontId="31" fillId="28" borderId="42" xfId="0" applyFont="1" applyFill="1" applyBorder="1" applyAlignment="1">
      <alignment horizontal="center" vertical="center"/>
    </xf>
    <xf numFmtId="0" fontId="31" fillId="28" borderId="43" xfId="0" applyFont="1" applyFill="1" applyBorder="1" applyAlignment="1">
      <alignment horizontal="center" vertical="center"/>
    </xf>
    <xf numFmtId="0" fontId="31" fillId="28" borderId="44" xfId="0" applyFont="1" applyFill="1" applyBorder="1" applyAlignment="1">
      <alignment horizontal="center" vertical="center"/>
    </xf>
    <xf numFmtId="0" fontId="31" fillId="28" borderId="45" xfId="0" applyFont="1" applyFill="1" applyBorder="1" applyAlignment="1">
      <alignment horizontal="center" vertical="center"/>
    </xf>
    <xf numFmtId="0" fontId="31" fillId="28" borderId="46" xfId="0" applyFont="1" applyFill="1" applyBorder="1" applyAlignment="1">
      <alignment horizontal="center" vertical="center"/>
    </xf>
    <xf numFmtId="0" fontId="31" fillId="28" borderId="47" xfId="0" applyFont="1" applyFill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173" fontId="34" fillId="0" borderId="40" xfId="32" applyNumberFormat="1" applyFont="1" applyBorder="1" applyAlignment="1">
      <alignment vertical="center"/>
    </xf>
    <xf numFmtId="169" fontId="34" fillId="0" borderId="40" xfId="48" applyNumberFormat="1" applyFont="1" applyBorder="1" applyAlignment="1">
      <alignment vertical="center"/>
    </xf>
    <xf numFmtId="172" fontId="34" fillId="0" borderId="41" xfId="48" applyNumberFormat="1" applyFont="1" applyBorder="1" applyAlignment="1">
      <alignment vertical="center"/>
    </xf>
    <xf numFmtId="0" fontId="34" fillId="28" borderId="42" xfId="34" applyFont="1" applyFill="1" applyBorder="1" applyAlignment="1">
      <alignment horizontal="center" vertical="center"/>
    </xf>
    <xf numFmtId="173" fontId="34" fillId="28" borderId="43" xfId="34" applyNumberFormat="1" applyFont="1" applyFill="1" applyBorder="1" applyAlignment="1">
      <alignment vertical="center"/>
    </xf>
    <xf numFmtId="169" fontId="34" fillId="28" borderId="43" xfId="34" applyNumberFormat="1" applyFont="1" applyFill="1" applyBorder="1" applyAlignment="1">
      <alignment vertical="center"/>
    </xf>
    <xf numFmtId="172" fontId="34" fillId="28" borderId="44" xfId="34" applyNumberFormat="1" applyFont="1" applyFill="1" applyBorder="1" applyAlignment="1">
      <alignment vertical="center"/>
    </xf>
    <xf numFmtId="0" fontId="34" fillId="0" borderId="42" xfId="0" applyFont="1" applyBorder="1" applyAlignment="1">
      <alignment horizontal="center" vertical="center"/>
    </xf>
    <xf numFmtId="173" fontId="34" fillId="0" borderId="43" xfId="32" applyNumberFormat="1" applyFont="1" applyBorder="1" applyAlignment="1">
      <alignment vertical="center"/>
    </xf>
    <xf numFmtId="169" fontId="34" fillId="0" borderId="43" xfId="48" applyNumberFormat="1" applyFont="1" applyBorder="1" applyAlignment="1">
      <alignment vertical="center"/>
    </xf>
    <xf numFmtId="172" fontId="34" fillId="0" borderId="44" xfId="48" applyNumberFormat="1" applyFont="1" applyBorder="1" applyAlignment="1">
      <alignment vertical="center"/>
    </xf>
    <xf numFmtId="0" fontId="34" fillId="0" borderId="45" xfId="0" applyFont="1" applyBorder="1" applyAlignment="1">
      <alignment horizontal="center" vertical="center"/>
    </xf>
    <xf numFmtId="173" fontId="34" fillId="0" borderId="46" xfId="32" applyNumberFormat="1" applyFont="1" applyBorder="1" applyAlignment="1">
      <alignment vertical="center"/>
    </xf>
    <xf numFmtId="169" fontId="34" fillId="0" borderId="46" xfId="48" applyNumberFormat="1" applyFont="1" applyBorder="1" applyAlignment="1">
      <alignment vertical="center"/>
    </xf>
    <xf numFmtId="172" fontId="34" fillId="0" borderId="47" xfId="48" applyNumberFormat="1" applyFont="1" applyBorder="1" applyAlignment="1">
      <alignment vertical="center"/>
    </xf>
    <xf numFmtId="175" fontId="34" fillId="0" borderId="40" xfId="32" applyNumberFormat="1" applyFont="1" applyBorder="1" applyAlignment="1">
      <alignment vertical="center"/>
    </xf>
    <xf numFmtId="175" fontId="34" fillId="28" borderId="43" xfId="34" applyNumberFormat="1" applyFont="1" applyFill="1" applyBorder="1" applyAlignment="1">
      <alignment vertical="center"/>
    </xf>
    <xf numFmtId="175" fontId="34" fillId="0" borderId="43" xfId="32" applyNumberFormat="1" applyFont="1" applyBorder="1" applyAlignment="1">
      <alignment vertical="center"/>
    </xf>
    <xf numFmtId="0" fontId="34" fillId="28" borderId="45" xfId="34" applyFont="1" applyFill="1" applyBorder="1" applyAlignment="1">
      <alignment horizontal="center" vertical="center"/>
    </xf>
    <xf numFmtId="175" fontId="34" fillId="28" borderId="46" xfId="34" applyNumberFormat="1" applyFont="1" applyFill="1" applyBorder="1" applyAlignment="1">
      <alignment vertical="center"/>
    </xf>
    <xf numFmtId="169" fontId="34" fillId="28" borderId="46" xfId="34" applyNumberFormat="1" applyFont="1" applyFill="1" applyBorder="1" applyAlignment="1">
      <alignment vertical="center"/>
    </xf>
    <xf numFmtId="172" fontId="34" fillId="28" borderId="47" xfId="34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31" fillId="0" borderId="39" xfId="0" applyFont="1" applyBorder="1" applyAlignment="1">
      <alignment horizontal="center" vertical="center"/>
    </xf>
    <xf numFmtId="174" fontId="31" fillId="0" borderId="40" xfId="32" applyNumberFormat="1" applyFont="1" applyBorder="1" applyAlignment="1">
      <alignment vertical="center"/>
    </xf>
    <xf numFmtId="169" fontId="31" fillId="0" borderId="40" xfId="48" applyNumberFormat="1" applyFont="1" applyBorder="1" applyAlignment="1">
      <alignment vertical="center"/>
    </xf>
    <xf numFmtId="176" fontId="31" fillId="0" borderId="41" xfId="48" applyNumberFormat="1" applyFont="1" applyBorder="1" applyAlignment="1">
      <alignment vertical="center"/>
    </xf>
    <xf numFmtId="0" fontId="31" fillId="28" borderId="42" xfId="34" applyFont="1" applyFill="1" applyBorder="1" applyAlignment="1">
      <alignment horizontal="center" vertical="center"/>
    </xf>
    <xf numFmtId="174" fontId="31" fillId="28" borderId="43" xfId="34" applyNumberFormat="1" applyFont="1" applyFill="1" applyBorder="1" applyAlignment="1">
      <alignment vertical="center"/>
    </xf>
    <xf numFmtId="169" fontId="31" fillId="28" borderId="43" xfId="34" applyNumberFormat="1" applyFont="1" applyFill="1" applyBorder="1" applyAlignment="1">
      <alignment vertical="center"/>
    </xf>
    <xf numFmtId="176" fontId="31" fillId="28" borderId="44" xfId="48" applyNumberFormat="1" applyFont="1" applyFill="1" applyBorder="1" applyAlignment="1">
      <alignment vertical="center"/>
    </xf>
    <xf numFmtId="0" fontId="31" fillId="0" borderId="42" xfId="0" applyFont="1" applyBorder="1" applyAlignment="1">
      <alignment horizontal="center" vertical="center"/>
    </xf>
    <xf numFmtId="174" fontId="31" fillId="0" borderId="43" xfId="32" applyNumberFormat="1" applyFont="1" applyBorder="1" applyAlignment="1">
      <alignment vertical="center"/>
    </xf>
    <xf numFmtId="169" fontId="31" fillId="0" borderId="43" xfId="48" applyNumberFormat="1" applyFont="1" applyBorder="1" applyAlignment="1">
      <alignment vertical="center"/>
    </xf>
    <xf numFmtId="176" fontId="31" fillId="0" borderId="44" xfId="48" applyNumberFormat="1" applyFont="1" applyBorder="1" applyAlignment="1">
      <alignment vertical="center"/>
    </xf>
    <xf numFmtId="0" fontId="31" fillId="28" borderId="45" xfId="34" applyFont="1" applyFill="1" applyBorder="1" applyAlignment="1">
      <alignment horizontal="center" vertical="center"/>
    </xf>
    <xf numFmtId="174" fontId="31" fillId="28" borderId="46" xfId="34" applyNumberFormat="1" applyFont="1" applyFill="1" applyBorder="1" applyAlignment="1">
      <alignment vertical="center"/>
    </xf>
    <xf numFmtId="169" fontId="31" fillId="28" borderId="46" xfId="34" applyNumberFormat="1" applyFont="1" applyFill="1" applyBorder="1" applyAlignment="1">
      <alignment vertical="center"/>
    </xf>
    <xf numFmtId="176" fontId="31" fillId="28" borderId="47" xfId="48" applyNumberFormat="1" applyFont="1" applyFill="1" applyBorder="1" applyAlignment="1">
      <alignment vertical="center"/>
    </xf>
    <xf numFmtId="0" fontId="35" fillId="28" borderId="10" xfId="51" applyFont="1" applyFill="1" applyBorder="1" applyAlignment="1" applyProtection="1">
      <alignment vertical="center"/>
    </xf>
    <xf numFmtId="0" fontId="35" fillId="28" borderId="11" xfId="51" applyFont="1" applyFill="1" applyBorder="1" applyAlignment="1" applyProtection="1">
      <alignment vertical="center"/>
    </xf>
    <xf numFmtId="0" fontId="35" fillId="28" borderId="23" xfId="51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Protection="1"/>
    <xf numFmtId="0" fontId="33" fillId="0" borderId="0" xfId="51" applyFont="1" applyFill="1" applyBorder="1" applyAlignment="1" applyProtection="1">
      <alignment vertical="center"/>
    </xf>
    <xf numFmtId="0" fontId="31" fillId="0" borderId="0" xfId="51" applyFont="1" applyFill="1" applyAlignment="1" applyProtection="1">
      <alignment vertical="center"/>
    </xf>
    <xf numFmtId="0" fontId="31" fillId="0" borderId="0" xfId="51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horizontal="right" vertical="center"/>
    </xf>
    <xf numFmtId="0" fontId="31" fillId="32" borderId="0" xfId="0" applyFont="1" applyFill="1" applyAlignment="1" applyProtection="1">
      <alignment vertical="center"/>
    </xf>
    <xf numFmtId="0" fontId="31" fillId="28" borderId="65" xfId="0" applyFont="1" applyFill="1" applyBorder="1" applyAlignment="1" applyProtection="1">
      <alignment vertical="center"/>
    </xf>
    <xf numFmtId="0" fontId="31" fillId="28" borderId="38" xfId="0" applyFont="1" applyFill="1" applyBorder="1" applyAlignment="1" applyProtection="1">
      <alignment vertical="center"/>
    </xf>
    <xf numFmtId="0" fontId="31" fillId="28" borderId="66" xfId="0" applyFont="1" applyFill="1" applyBorder="1" applyAlignment="1" applyProtection="1">
      <alignment vertical="center"/>
    </xf>
    <xf numFmtId="179" fontId="30" fillId="28" borderId="65" xfId="0" applyNumberFormat="1" applyFont="1" applyFill="1" applyBorder="1" applyAlignment="1" applyProtection="1">
      <alignment horizontal="right" vertical="center"/>
    </xf>
    <xf numFmtId="0" fontId="30" fillId="28" borderId="66" xfId="0" applyFont="1" applyFill="1" applyBorder="1" applyAlignment="1" applyProtection="1">
      <alignment vertical="center"/>
    </xf>
    <xf numFmtId="0" fontId="30" fillId="28" borderId="40" xfId="0" applyFont="1" applyFill="1" applyBorder="1" applyAlignment="1" applyProtection="1">
      <alignment horizontal="center" vertical="center" wrapText="1"/>
    </xf>
    <xf numFmtId="0" fontId="30" fillId="28" borderId="41" xfId="0" applyFont="1" applyFill="1" applyBorder="1" applyAlignment="1" applyProtection="1">
      <alignment horizontal="center" vertical="center"/>
    </xf>
    <xf numFmtId="0" fontId="30" fillId="28" borderId="46" xfId="0" applyFont="1" applyFill="1" applyBorder="1" applyAlignment="1" applyProtection="1">
      <alignment horizontal="center" vertical="center"/>
    </xf>
    <xf numFmtId="0" fontId="30" fillId="28" borderId="47" xfId="0" applyFont="1" applyFill="1" applyBorder="1" applyAlignment="1" applyProtection="1">
      <alignment horizontal="center" vertical="center"/>
    </xf>
    <xf numFmtId="0" fontId="30" fillId="0" borderId="40" xfId="0" applyFont="1" applyBorder="1" applyAlignment="1" applyProtection="1">
      <alignment horizontal="center" vertical="center"/>
    </xf>
    <xf numFmtId="167" fontId="30" fillId="32" borderId="39" xfId="32" applyNumberFormat="1" applyFont="1" applyFill="1" applyBorder="1" applyAlignment="1" applyProtection="1">
      <alignment horizontal="right" vertical="center"/>
      <protection locked="0"/>
    </xf>
    <xf numFmtId="167" fontId="30" fillId="0" borderId="40" xfId="32" applyNumberFormat="1" applyFont="1" applyBorder="1" applyAlignment="1" applyProtection="1">
      <alignment horizontal="right" vertical="center"/>
    </xf>
    <xf numFmtId="12" fontId="30" fillId="0" borderId="40" xfId="0" applyNumberFormat="1" applyFont="1" applyBorder="1" applyAlignment="1" applyProtection="1">
      <alignment horizontal="center" vertical="center"/>
    </xf>
    <xf numFmtId="0" fontId="30" fillId="0" borderId="40" xfId="0" applyFont="1" applyBorder="1" applyAlignment="1" applyProtection="1">
      <alignment horizontal="right" vertical="center"/>
    </xf>
    <xf numFmtId="165" fontId="30" fillId="0" borderId="41" xfId="32" applyFont="1" applyBorder="1" applyAlignment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167" fontId="30" fillId="0" borderId="0" xfId="32" applyNumberFormat="1" applyFont="1" applyFill="1" applyAlignment="1" applyProtection="1">
      <alignment vertical="center"/>
    </xf>
    <xf numFmtId="0" fontId="31" fillId="0" borderId="0" xfId="0" applyFont="1" applyAlignment="1" applyProtection="1">
      <alignment vertical="center"/>
    </xf>
    <xf numFmtId="181" fontId="31" fillId="0" borderId="0" xfId="0" applyNumberFormat="1" applyFont="1" applyProtection="1"/>
    <xf numFmtId="0" fontId="30" fillId="0" borderId="43" xfId="0" applyFont="1" applyBorder="1" applyAlignment="1" applyProtection="1">
      <alignment horizontal="center" vertical="center"/>
    </xf>
    <xf numFmtId="167" fontId="30" fillId="32" borderId="42" xfId="32" applyNumberFormat="1" applyFont="1" applyFill="1" applyBorder="1" applyAlignment="1" applyProtection="1">
      <alignment horizontal="right" vertical="center"/>
      <protection locked="0"/>
    </xf>
    <xf numFmtId="167" fontId="30" fillId="0" borderId="43" xfId="32" applyNumberFormat="1" applyFont="1" applyBorder="1" applyAlignment="1" applyProtection="1">
      <alignment horizontal="right" vertical="center"/>
    </xf>
    <xf numFmtId="12" fontId="30" fillId="0" borderId="43" xfId="0" applyNumberFormat="1" applyFont="1" applyBorder="1" applyAlignment="1" applyProtection="1">
      <alignment horizontal="center" vertical="center"/>
    </xf>
    <xf numFmtId="0" fontId="30" fillId="0" borderId="43" xfId="0" applyFont="1" applyBorder="1" applyAlignment="1" applyProtection="1">
      <alignment horizontal="right" vertical="center"/>
    </xf>
    <xf numFmtId="165" fontId="30" fillId="0" borderId="44" xfId="32" applyFont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180" fontId="30" fillId="0" borderId="43" xfId="0" applyNumberFormat="1" applyFont="1" applyBorder="1" applyAlignment="1" applyProtection="1">
      <alignment horizontal="right" vertical="center"/>
    </xf>
    <xf numFmtId="170" fontId="31" fillId="0" borderId="0" xfId="32" applyNumberFormat="1" applyFont="1" applyAlignment="1" applyProtection="1">
      <alignment vertical="center"/>
    </xf>
    <xf numFmtId="170" fontId="31" fillId="0" borderId="0" xfId="0" applyNumberFormat="1" applyFont="1" applyFill="1" applyAlignment="1" applyProtection="1">
      <alignment vertical="center"/>
    </xf>
    <xf numFmtId="177" fontId="31" fillId="0" borderId="0" xfId="48" applyNumberFormat="1" applyFont="1" applyBorder="1" applyAlignment="1" applyProtection="1">
      <alignment vertical="center"/>
    </xf>
    <xf numFmtId="167" fontId="31" fillId="0" borderId="0" xfId="32" applyNumberFormat="1" applyFont="1" applyAlignment="1" applyProtection="1">
      <alignment vertical="center"/>
    </xf>
    <xf numFmtId="0" fontId="31" fillId="0" borderId="0" xfId="0" applyFont="1" applyFill="1" applyAlignment="1" applyProtection="1">
      <alignment vertical="center" shrinkToFit="1"/>
    </xf>
    <xf numFmtId="164" fontId="32" fillId="0" borderId="50" xfId="26" applyNumberFormat="1" applyFont="1" applyFill="1" applyBorder="1" applyAlignment="1" applyProtection="1">
      <alignment vertical="center" shrinkToFit="1"/>
    </xf>
    <xf numFmtId="0" fontId="30" fillId="0" borderId="46" xfId="0" applyFont="1" applyBorder="1" applyAlignment="1" applyProtection="1">
      <alignment horizontal="center" vertical="center"/>
    </xf>
    <xf numFmtId="167" fontId="30" fillId="32" borderId="45" xfId="32" applyNumberFormat="1" applyFont="1" applyFill="1" applyBorder="1" applyAlignment="1" applyProtection="1">
      <alignment horizontal="right" vertical="center"/>
      <protection locked="0"/>
    </xf>
    <xf numFmtId="167" fontId="30" fillId="0" borderId="46" xfId="32" applyNumberFormat="1" applyFont="1" applyBorder="1" applyAlignment="1" applyProtection="1">
      <alignment horizontal="right" vertical="center"/>
    </xf>
    <xf numFmtId="12" fontId="30" fillId="0" borderId="46" xfId="0" applyNumberFormat="1" applyFont="1" applyBorder="1" applyAlignment="1" applyProtection="1">
      <alignment horizontal="center" vertical="center"/>
    </xf>
    <xf numFmtId="0" fontId="30" fillId="0" borderId="46" xfId="0" applyFont="1" applyBorder="1" applyAlignment="1" applyProtection="1">
      <alignment horizontal="right" vertical="center"/>
    </xf>
    <xf numFmtId="165" fontId="30" fillId="0" borderId="47" xfId="32" applyFont="1" applyBorder="1" applyAlignment="1" applyProtection="1">
      <alignment horizontal="center" vertical="center"/>
    </xf>
    <xf numFmtId="164" fontId="32" fillId="0" borderId="50" xfId="26" applyNumberFormat="1" applyFont="1" applyFill="1" applyBorder="1" applyAlignment="1" applyProtection="1">
      <alignment horizontal="center" vertical="center" shrinkToFit="1"/>
    </xf>
    <xf numFmtId="0" fontId="32" fillId="0" borderId="0" xfId="0" applyFont="1" applyFill="1" applyAlignment="1" applyProtection="1">
      <alignment horizontal="center" vertical="center"/>
    </xf>
    <xf numFmtId="0" fontId="32" fillId="0" borderId="0" xfId="0" applyFont="1" applyFill="1" applyAlignment="1" applyProtection="1">
      <alignment vertical="center"/>
    </xf>
    <xf numFmtId="164" fontId="33" fillId="0" borderId="50" xfId="26" applyNumberFormat="1" applyFont="1" applyFill="1" applyBorder="1" applyAlignment="1" applyProtection="1">
      <alignment horizontal="center" vertical="center" shrinkToFit="1"/>
    </xf>
    <xf numFmtId="0" fontId="33" fillId="0" borderId="0" xfId="0" applyFont="1" applyFill="1" applyAlignment="1" applyProtection="1">
      <alignment horizontal="center" vertical="center"/>
    </xf>
    <xf numFmtId="181" fontId="33" fillId="0" borderId="0" xfId="0" applyNumberFormat="1" applyFont="1" applyFill="1" applyAlignment="1" applyProtection="1">
      <alignment horizontal="center" vertical="center"/>
    </xf>
    <xf numFmtId="0" fontId="33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center" vertical="center"/>
    </xf>
    <xf numFmtId="0" fontId="34" fillId="0" borderId="0" xfId="0" applyFont="1" applyFill="1" applyAlignment="1" applyProtection="1">
      <alignment vertical="center"/>
    </xf>
    <xf numFmtId="49" fontId="31" fillId="0" borderId="0" xfId="0" applyNumberFormat="1" applyFont="1" applyFill="1" applyAlignment="1" applyProtection="1">
      <alignment vertical="center"/>
    </xf>
    <xf numFmtId="0" fontId="33" fillId="0" borderId="26" xfId="0" applyFont="1" applyFill="1" applyBorder="1" applyAlignment="1" applyProtection="1">
      <alignment vertical="center"/>
    </xf>
    <xf numFmtId="0" fontId="30" fillId="0" borderId="27" xfId="0" applyFont="1" applyFill="1" applyBorder="1" applyAlignment="1" applyProtection="1">
      <alignment vertical="center"/>
    </xf>
    <xf numFmtId="169" fontId="30" fillId="0" borderId="0" xfId="0" applyNumberFormat="1" applyFont="1" applyFill="1" applyAlignment="1" applyProtection="1">
      <alignment horizontal="right" vertical="center" shrinkToFit="1"/>
    </xf>
    <xf numFmtId="169" fontId="31" fillId="0" borderId="0" xfId="0" applyNumberFormat="1" applyFont="1" applyFill="1" applyAlignment="1" applyProtection="1">
      <alignment vertical="center" shrinkToFit="1"/>
    </xf>
    <xf numFmtId="0" fontId="33" fillId="28" borderId="50" xfId="0" applyFont="1" applyFill="1" applyBorder="1" applyAlignment="1" applyProtection="1">
      <alignment horizontal="center" vertical="center"/>
    </xf>
    <xf numFmtId="169" fontId="33" fillId="0" borderId="50" xfId="0" applyNumberFormat="1" applyFont="1" applyFill="1" applyBorder="1" applyAlignment="1" applyProtection="1">
      <alignment vertical="center" shrinkToFit="1"/>
    </xf>
    <xf numFmtId="0" fontId="31" fillId="0" borderId="0" xfId="0" quotePrefix="1" applyFont="1" applyFill="1" applyAlignment="1" applyProtection="1">
      <alignment vertical="center"/>
    </xf>
    <xf numFmtId="0" fontId="42" fillId="28" borderId="59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 horizontal="right" vertical="center"/>
    </xf>
    <xf numFmtId="169" fontId="33" fillId="0" borderId="32" xfId="0" applyNumberFormat="1" applyFont="1" applyFill="1" applyBorder="1" applyAlignment="1" applyProtection="1">
      <alignment vertical="center" shrinkToFit="1"/>
    </xf>
    <xf numFmtId="169" fontId="30" fillId="0" borderId="0" xfId="0" applyNumberFormat="1" applyFont="1" applyFill="1" applyAlignment="1" applyProtection="1">
      <alignment vertical="center" shrinkToFit="1"/>
    </xf>
    <xf numFmtId="164" fontId="31" fillId="0" borderId="0" xfId="0" applyNumberFormat="1" applyFont="1" applyFill="1" applyAlignment="1" applyProtection="1">
      <alignment vertical="center"/>
    </xf>
    <xf numFmtId="169" fontId="36" fillId="0" borderId="32" xfId="0" quotePrefix="1" applyNumberFormat="1" applyFont="1" applyFill="1" applyBorder="1" applyAlignment="1" applyProtection="1">
      <alignment vertical="center" shrinkToFit="1"/>
    </xf>
    <xf numFmtId="4" fontId="31" fillId="0" borderId="0" xfId="0" applyNumberFormat="1" applyFont="1" applyFill="1" applyAlignment="1" applyProtection="1">
      <alignment vertical="center"/>
    </xf>
    <xf numFmtId="164" fontId="31" fillId="0" borderId="0" xfId="0" applyNumberFormat="1" applyFont="1" applyProtection="1"/>
    <xf numFmtId="0" fontId="3" fillId="0" borderId="0" xfId="53" applyFont="1" applyAlignment="1">
      <alignment vertical="center"/>
    </xf>
    <xf numFmtId="0" fontId="3" fillId="0" borderId="0" xfId="53" applyFont="1" applyAlignment="1">
      <alignment horizontal="left" vertical="center"/>
    </xf>
    <xf numFmtId="0" fontId="3" fillId="0" borderId="0" xfId="53" applyFont="1" applyAlignment="1">
      <alignment horizontal="center" vertical="center"/>
    </xf>
    <xf numFmtId="178" fontId="3" fillId="0" borderId="0" xfId="54" applyNumberFormat="1" applyFont="1" applyAlignment="1">
      <alignment horizontal="left" vertical="center"/>
    </xf>
    <xf numFmtId="0" fontId="3" fillId="28" borderId="0" xfId="53" applyFont="1" applyFill="1" applyAlignment="1">
      <alignment vertical="center"/>
    </xf>
    <xf numFmtId="0" fontId="3" fillId="28" borderId="0" xfId="53" applyFont="1" applyFill="1" applyAlignment="1">
      <alignment horizontal="left" vertical="center"/>
    </xf>
    <xf numFmtId="0" fontId="3" fillId="28" borderId="0" xfId="53" applyFont="1" applyFill="1" applyAlignment="1">
      <alignment horizontal="center" vertical="center"/>
    </xf>
    <xf numFmtId="166" fontId="3" fillId="28" borderId="0" xfId="62" applyNumberFormat="1" applyFont="1" applyFill="1" applyAlignment="1">
      <alignment horizontal="left" vertical="center"/>
    </xf>
    <xf numFmtId="0" fontId="3" fillId="28" borderId="0" xfId="53" quotePrefix="1" applyFont="1" applyFill="1" applyAlignment="1">
      <alignment horizontal="center" vertical="center"/>
    </xf>
    <xf numFmtId="184" fontId="3" fillId="28" borderId="0" xfId="62" applyNumberFormat="1" applyFont="1" applyFill="1" applyAlignment="1">
      <alignment horizontal="center" vertical="center"/>
    </xf>
    <xf numFmtId="0" fontId="49" fillId="28" borderId="77" xfId="53" applyFont="1" applyFill="1" applyBorder="1" applyAlignment="1">
      <alignment vertical="center"/>
    </xf>
    <xf numFmtId="166" fontId="49" fillId="28" borderId="77" xfId="62" applyNumberFormat="1" applyFont="1" applyFill="1" applyBorder="1" applyAlignment="1">
      <alignment horizontal="left" vertical="center"/>
    </xf>
    <xf numFmtId="166" fontId="3" fillId="28" borderId="0" xfId="53" applyNumberFormat="1" applyFont="1" applyFill="1" applyAlignment="1">
      <alignment horizontal="left" vertical="center"/>
    </xf>
    <xf numFmtId="166" fontId="3" fillId="28" borderId="0" xfId="53" applyNumberFormat="1" applyFont="1" applyFill="1" applyAlignment="1">
      <alignment horizontal="center" vertical="center"/>
    </xf>
    <xf numFmtId="0" fontId="49" fillId="28" borderId="78" xfId="53" applyFont="1" applyFill="1" applyBorder="1" applyAlignment="1">
      <alignment vertical="center"/>
    </xf>
    <xf numFmtId="166" fontId="49" fillId="28" borderId="78" xfId="62" applyNumberFormat="1" applyFont="1" applyFill="1" applyBorder="1" applyAlignment="1">
      <alignment horizontal="left" vertical="center"/>
    </xf>
    <xf numFmtId="0" fontId="3" fillId="28" borderId="78" xfId="53" applyFont="1" applyFill="1" applyBorder="1" applyAlignment="1">
      <alignment horizontal="center" vertical="center"/>
    </xf>
    <xf numFmtId="0" fontId="3" fillId="28" borderId="78" xfId="53" applyFont="1" applyFill="1" applyBorder="1" applyAlignment="1">
      <alignment vertical="center"/>
    </xf>
    <xf numFmtId="4" fontId="3" fillId="0" borderId="0" xfId="53" applyNumberFormat="1" applyFont="1" applyAlignment="1">
      <alignment vertical="center"/>
    </xf>
    <xf numFmtId="4" fontId="3" fillId="0" borderId="0" xfId="54" applyNumberFormat="1" applyFont="1" applyAlignment="1">
      <alignment vertical="center"/>
    </xf>
    <xf numFmtId="185" fontId="3" fillId="0" borderId="0" xfId="54" applyNumberFormat="1" applyFont="1" applyAlignment="1">
      <alignment vertical="center"/>
    </xf>
    <xf numFmtId="185" fontId="3" fillId="0" borderId="0" xfId="53" applyNumberFormat="1" applyFont="1" applyAlignment="1">
      <alignment vertical="center"/>
    </xf>
    <xf numFmtId="0" fontId="50" fillId="0" borderId="0" xfId="53" applyFont="1" applyAlignment="1">
      <alignment vertical="center"/>
    </xf>
    <xf numFmtId="0" fontId="51" fillId="0" borderId="0" xfId="53" applyFont="1" applyAlignment="1">
      <alignment vertical="center"/>
    </xf>
    <xf numFmtId="178" fontId="51" fillId="0" borderId="0" xfId="54" applyNumberFormat="1" applyFont="1" applyAlignment="1">
      <alignment vertical="center"/>
    </xf>
    <xf numFmtId="0" fontId="3" fillId="0" borderId="0" xfId="53" applyFont="1"/>
    <xf numFmtId="166" fontId="3" fillId="28" borderId="0" xfId="62" applyNumberFormat="1" applyFont="1" applyFill="1" applyAlignment="1">
      <alignment vertical="center"/>
    </xf>
    <xf numFmtId="0" fontId="3" fillId="28" borderId="0" xfId="53" applyFont="1" applyFill="1" applyBorder="1" applyAlignment="1">
      <alignment vertical="center"/>
    </xf>
    <xf numFmtId="166" fontId="3" fillId="28" borderId="0" xfId="53" applyNumberFormat="1" applyFont="1" applyFill="1" applyBorder="1" applyAlignment="1">
      <alignment vertical="center"/>
    </xf>
    <xf numFmtId="0" fontId="52" fillId="28" borderId="77" xfId="53" applyFont="1" applyFill="1" applyBorder="1" applyAlignment="1">
      <alignment vertical="center"/>
    </xf>
    <xf numFmtId="166" fontId="52" fillId="28" borderId="77" xfId="53" applyNumberFormat="1" applyFont="1" applyFill="1" applyBorder="1" applyAlignment="1">
      <alignment vertical="center"/>
    </xf>
    <xf numFmtId="184" fontId="31" fillId="0" borderId="0" xfId="0" applyNumberFormat="1" applyFont="1"/>
    <xf numFmtId="0" fontId="32" fillId="0" borderId="74" xfId="0" applyFont="1" applyBorder="1" applyAlignment="1">
      <alignment vertical="center"/>
    </xf>
    <xf numFmtId="0" fontId="32" fillId="0" borderId="75" xfId="0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2" fillId="0" borderId="34" xfId="0" applyNumberFormat="1" applyFont="1" applyBorder="1" applyAlignment="1">
      <alignment vertical="center"/>
    </xf>
    <xf numFmtId="0" fontId="32" fillId="0" borderId="33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43" fillId="0" borderId="51" xfId="0" applyFont="1" applyFill="1" applyBorder="1" applyAlignment="1">
      <alignment horizontal="left" vertical="center" wrapText="1"/>
    </xf>
    <xf numFmtId="0" fontId="43" fillId="0" borderId="52" xfId="0" applyFont="1" applyFill="1" applyBorder="1" applyAlignment="1">
      <alignment horizontal="left" vertical="center" wrapText="1"/>
    </xf>
    <xf numFmtId="0" fontId="38" fillId="0" borderId="69" xfId="0" applyFont="1" applyFill="1" applyBorder="1" applyAlignment="1">
      <alignment horizontal="center" vertical="center"/>
    </xf>
    <xf numFmtId="0" fontId="38" fillId="0" borderId="70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0" fontId="32" fillId="28" borderId="57" xfId="0" applyFont="1" applyFill="1" applyBorder="1" applyAlignment="1" applyProtection="1">
      <alignment horizontal="left" vertical="center"/>
      <protection locked="0"/>
    </xf>
    <xf numFmtId="0" fontId="32" fillId="28" borderId="59" xfId="0" applyFont="1" applyFill="1" applyBorder="1" applyAlignment="1" applyProtection="1">
      <alignment horizontal="left" vertical="center"/>
      <protection locked="0"/>
    </xf>
    <xf numFmtId="0" fontId="32" fillId="28" borderId="58" xfId="0" applyFont="1" applyFill="1" applyBorder="1" applyAlignment="1" applyProtection="1">
      <alignment horizontal="left" vertical="center"/>
      <protection locked="0"/>
    </xf>
    <xf numFmtId="0" fontId="41" fillId="0" borderId="51" xfId="26" applyFont="1" applyFill="1" applyBorder="1" applyAlignment="1">
      <alignment horizontal="left" vertical="center"/>
    </xf>
    <xf numFmtId="0" fontId="41" fillId="0" borderId="52" xfId="26" applyFont="1" applyFill="1" applyBorder="1" applyAlignment="1">
      <alignment horizontal="left" vertical="center"/>
    </xf>
    <xf numFmtId="0" fontId="41" fillId="0" borderId="53" xfId="26" applyFont="1" applyFill="1" applyBorder="1" applyAlignment="1">
      <alignment horizontal="left" vertical="center"/>
    </xf>
    <xf numFmtId="0" fontId="32" fillId="0" borderId="59" xfId="0" applyFont="1" applyFill="1" applyBorder="1" applyAlignment="1">
      <alignment horizontal="left" vertical="center" wrapText="1"/>
    </xf>
    <xf numFmtId="0" fontId="32" fillId="0" borderId="3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166" fontId="32" fillId="0" borderId="3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7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1" fillId="0" borderId="49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49" xfId="0" applyFont="1" applyBorder="1" applyAlignment="1">
      <alignment horizontal="center"/>
    </xf>
    <xf numFmtId="0" fontId="45" fillId="0" borderId="14" xfId="0" applyFont="1" applyFill="1" applyBorder="1" applyAlignment="1">
      <alignment horizontal="left" vertical="center"/>
    </xf>
    <xf numFmtId="0" fontId="45" fillId="0" borderId="29" xfId="0" applyFont="1" applyFill="1" applyBorder="1" applyAlignment="1">
      <alignment horizontal="left" vertical="center"/>
    </xf>
    <xf numFmtId="0" fontId="45" fillId="0" borderId="32" xfId="0" applyFont="1" applyFill="1" applyBorder="1" applyAlignment="1">
      <alignment horizontal="left" vertical="center"/>
    </xf>
    <xf numFmtId="0" fontId="31" fillId="28" borderId="40" xfId="0" applyFont="1" applyFill="1" applyBorder="1" applyAlignment="1">
      <alignment horizontal="center" vertical="center"/>
    </xf>
    <xf numFmtId="0" fontId="31" fillId="28" borderId="43" xfId="0" applyFont="1" applyFill="1" applyBorder="1" applyAlignment="1">
      <alignment horizontal="center" vertical="center"/>
    </xf>
    <xf numFmtId="0" fontId="32" fillId="0" borderId="51" xfId="26" applyFont="1" applyFill="1" applyBorder="1" applyAlignment="1" applyProtection="1">
      <alignment horizontal="left" vertical="center"/>
    </xf>
    <xf numFmtId="0" fontId="32" fillId="0" borderId="52" xfId="26" applyFont="1" applyFill="1" applyBorder="1" applyAlignment="1" applyProtection="1">
      <alignment horizontal="left" vertical="center"/>
    </xf>
    <xf numFmtId="0" fontId="32" fillId="0" borderId="53" xfId="26" applyFont="1" applyFill="1" applyBorder="1" applyAlignment="1" applyProtection="1">
      <alignment horizontal="left" vertical="center"/>
    </xf>
    <xf numFmtId="0" fontId="30" fillId="28" borderId="39" xfId="0" applyFont="1" applyFill="1" applyBorder="1" applyAlignment="1" applyProtection="1">
      <alignment horizontal="center" vertical="center"/>
    </xf>
    <xf numFmtId="0" fontId="30" fillId="28" borderId="45" xfId="0" applyFont="1" applyFill="1" applyBorder="1" applyAlignment="1" applyProtection="1">
      <alignment horizontal="center" vertical="center"/>
    </xf>
    <xf numFmtId="0" fontId="30" fillId="28" borderId="67" xfId="0" applyFont="1" applyFill="1" applyBorder="1" applyAlignment="1" applyProtection="1">
      <alignment horizontal="center" vertical="center" wrapText="1"/>
    </xf>
    <xf numFmtId="0" fontId="30" fillId="28" borderId="63" xfId="0" applyFont="1" applyFill="1" applyBorder="1" applyAlignment="1" applyProtection="1">
      <alignment horizontal="center" vertical="center"/>
    </xf>
    <xf numFmtId="0" fontId="30" fillId="28" borderId="68" xfId="0" applyFont="1" applyFill="1" applyBorder="1" applyAlignment="1" applyProtection="1">
      <alignment horizontal="center" vertical="center"/>
    </xf>
    <xf numFmtId="0" fontId="30" fillId="28" borderId="64" xfId="0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/>
    </xf>
    <xf numFmtId="0" fontId="31" fillId="0" borderId="0" xfId="0" applyFont="1" applyFill="1" applyAlignment="1" applyProtection="1">
      <alignment horizontal="center" vertical="center"/>
    </xf>
    <xf numFmtId="0" fontId="33" fillId="28" borderId="55" xfId="0" applyFont="1" applyFill="1" applyBorder="1" applyAlignment="1" applyProtection="1">
      <alignment horizontal="left" vertical="center"/>
    </xf>
    <xf numFmtId="0" fontId="33" fillId="28" borderId="29" xfId="0" applyFont="1" applyFill="1" applyBorder="1" applyAlignment="1" applyProtection="1">
      <alignment horizontal="left" vertical="center"/>
    </xf>
    <xf numFmtId="0" fontId="33" fillId="28" borderId="56" xfId="0" applyFont="1" applyFill="1" applyBorder="1" applyAlignment="1" applyProtection="1">
      <alignment horizontal="left" vertical="center"/>
    </xf>
    <xf numFmtId="0" fontId="39" fillId="0" borderId="69" xfId="0" applyFont="1" applyFill="1" applyBorder="1" applyAlignment="1" applyProtection="1">
      <alignment horizontal="left" vertical="center"/>
    </xf>
    <xf numFmtId="0" fontId="39" fillId="0" borderId="70" xfId="0" applyFont="1" applyFill="1" applyBorder="1" applyAlignment="1" applyProtection="1">
      <alignment horizontal="left" vertical="center"/>
    </xf>
    <xf numFmtId="0" fontId="39" fillId="0" borderId="71" xfId="0" applyFont="1" applyFill="1" applyBorder="1" applyAlignment="1" applyProtection="1">
      <alignment horizontal="left" vertical="center"/>
    </xf>
    <xf numFmtId="0" fontId="33" fillId="28" borderId="57" xfId="0" applyFont="1" applyFill="1" applyBorder="1" applyAlignment="1" applyProtection="1">
      <alignment horizontal="left" vertical="center"/>
    </xf>
    <xf numFmtId="0" fontId="33" fillId="28" borderId="59" xfId="0" applyFont="1" applyFill="1" applyBorder="1" applyAlignment="1" applyProtection="1">
      <alignment horizontal="left" vertical="center"/>
    </xf>
    <xf numFmtId="0" fontId="33" fillId="28" borderId="58" xfId="0" applyFont="1" applyFill="1" applyBorder="1" applyAlignment="1" applyProtection="1">
      <alignment horizontal="left" vertical="center"/>
    </xf>
    <xf numFmtId="0" fontId="32" fillId="0" borderId="14" xfId="0" applyFont="1" applyFill="1" applyBorder="1" applyAlignment="1" applyProtection="1">
      <alignment horizontal="left" vertical="center"/>
    </xf>
    <xf numFmtId="0" fontId="32" fillId="0" borderId="29" xfId="0" applyFont="1" applyFill="1" applyBorder="1" applyAlignment="1" applyProtection="1">
      <alignment horizontal="left" vertical="center"/>
    </xf>
    <xf numFmtId="0" fontId="32" fillId="0" borderId="32" xfId="0" applyFont="1" applyFill="1" applyBorder="1" applyAlignment="1" applyProtection="1">
      <alignment horizontal="left" vertical="center"/>
    </xf>
    <xf numFmtId="0" fontId="33" fillId="0" borderId="14" xfId="0" applyFont="1" applyFill="1" applyBorder="1" applyAlignment="1" applyProtection="1">
      <alignment horizontal="left" vertical="center"/>
    </xf>
    <xf numFmtId="0" fontId="33" fillId="0" borderId="29" xfId="0" applyFont="1" applyFill="1" applyBorder="1" applyAlignment="1" applyProtection="1">
      <alignment horizontal="left" vertical="center"/>
    </xf>
    <xf numFmtId="0" fontId="33" fillId="0" borderId="32" xfId="0" applyFont="1" applyFill="1" applyBorder="1" applyAlignment="1" applyProtection="1">
      <alignment horizontal="left" vertical="center"/>
    </xf>
    <xf numFmtId="0" fontId="44" fillId="28" borderId="60" xfId="0" applyFont="1" applyFill="1" applyBorder="1" applyAlignment="1">
      <alignment horizontal="left" vertical="center"/>
    </xf>
    <xf numFmtId="0" fontId="44" fillId="28" borderId="61" xfId="0" applyFont="1" applyFill="1" applyBorder="1" applyAlignment="1">
      <alignment horizontal="left" vertical="center"/>
    </xf>
    <xf numFmtId="0" fontId="44" fillId="28" borderId="62" xfId="0" applyFont="1" applyFill="1" applyBorder="1" applyAlignment="1">
      <alignment horizontal="left" vertical="center"/>
    </xf>
    <xf numFmtId="0" fontId="35" fillId="33" borderId="60" xfId="51" applyFont="1" applyFill="1" applyBorder="1" applyAlignment="1">
      <alignment horizontal="left" vertical="center"/>
    </xf>
    <xf numFmtId="0" fontId="35" fillId="33" borderId="61" xfId="51" applyFont="1" applyFill="1" applyBorder="1" applyAlignment="1">
      <alignment horizontal="left" vertical="center"/>
    </xf>
    <xf numFmtId="0" fontId="35" fillId="33" borderId="62" xfId="51" applyFont="1" applyFill="1" applyBorder="1" applyAlignment="1">
      <alignment horizontal="left" vertical="center"/>
    </xf>
  </cellXfs>
  <cellStyles count="70">
    <cellStyle name="20 % - Akzent3" xfId="51" builtinId="38"/>
    <cellStyle name="20 % - Akzent3 2" xfId="60"/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 % - Akzent3 2" xfId="52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3 2" xfId="64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Berechnung 2" xfId="6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57"/>
    <cellStyle name="Gut" xfId="31" builtinId="26" customBuiltin="1"/>
    <cellStyle name="Gut 2" xfId="67"/>
    <cellStyle name="Komma" xfId="32" builtinId="3"/>
    <cellStyle name="Komma 2" xfId="54"/>
    <cellStyle name="Komma 3" xfId="58"/>
    <cellStyle name="Komma 4" xfId="66"/>
    <cellStyle name="Link" xfId="63" builtinId="8"/>
    <cellStyle name="Neutral" xfId="33" builtinId="28" customBuiltin="1"/>
    <cellStyle name="Neutral 2" xfId="68"/>
    <cellStyle name="Notiz" xfId="34" builtinId="10" customBuiltin="1"/>
    <cellStyle name="Prozent 2" xfId="55"/>
    <cellStyle name="Prozent 3" xfId="59"/>
    <cellStyle name="SAPBEXaggData" xfId="35"/>
    <cellStyle name="SAPBEXaggItem" xfId="36"/>
    <cellStyle name="SAPBEXchaText" xfId="37"/>
    <cellStyle name="SAPBEXstdItem" xfId="38"/>
    <cellStyle name="SAPBEXstdItemX" xfId="39"/>
    <cellStyle name="Schlecht" xfId="40" builtinId="27" customBuiltin="1"/>
    <cellStyle name="Standard" xfId="0" builtinId="0"/>
    <cellStyle name="Standard 2" xfId="53"/>
    <cellStyle name="Standard 3" xfId="56"/>
    <cellStyle name="Standard 4" xfId="65"/>
    <cellStyle name="Standard 5" xfId="69"/>
    <cellStyle name="Standard_20081201_Zusammenfassung_Zaehler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ährung" xfId="48" builtinId="4"/>
    <cellStyle name="Währung 2" xfId="62"/>
    <cellStyle name="Warnender Text" xfId="49" builtinId="11" customBuiltin="1"/>
    <cellStyle name="Zelle überprüfen" xfId="50" builtinId="23" customBuiltin="1"/>
  </cellStyles>
  <dxfs count="0"/>
  <tableStyles count="0" defaultTableStyle="TableStyleMedium2" defaultPivotStyle="PivotStyleLight16"/>
  <colors>
    <mruColors>
      <color rgb="FFEAEAEF"/>
      <color rgb="FFEAEAF2"/>
      <color rgb="FFFECC00"/>
      <color rgb="FFFFFF00"/>
      <color rgb="FF4D4D60"/>
      <color rgb="FFA4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849923</xdr:colOff>
      <xdr:row>5</xdr:row>
      <xdr:rowOff>359019</xdr:rowOff>
    </xdr:from>
    <xdr:ext cx="184731" cy="264560"/>
    <xdr:sp macro="" textlink="">
      <xdr:nvSpPr>
        <xdr:cNvPr id="3" name="Textfeld 2"/>
        <xdr:cNvSpPr txBox="1"/>
      </xdr:nvSpPr>
      <xdr:spPr>
        <a:xfrm>
          <a:off x="952500" y="16778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schlegelj.ESW\Lokale%20Einstellungen\Temporary%20Internet%20Files\OLK13B\Entgeltrech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gulierungsmanagement\Netzkosten\Entgeltantrag2007\Entgeltberechnung2007\Entgeltberechnung2007_Neukalkulation\20080409_NPM_Berechnung_der_NNE_Basis_Arbeit_ES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gulierungsmanagement\Netzkosten\Entgeltantrag2007\Entgeltberechnung2007\Entgeltberechnung2007_Neukalkulation\20080409_NPM_Berechnung_der_NNE_Basis_Leistung_ES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wnetapp2\netz$\03_Netzzugang\07_Netzentgelt\Entgeltrechner\20101216_Zusammenfassung_Zaehl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Entgeltrechner2009_sigm_inclVNB"/>
      <sheetName val="Preisblatt2009_ohneVNB"/>
      <sheetName val="Preisblatt2009_inclVNB"/>
      <sheetName val="Entgeltrechner2008_2"/>
      <sheetName val="Entgeltrechner2008_2T"/>
      <sheetName val="PreisblattNEV2007"/>
      <sheetName val="Entgeltrechner2007"/>
      <sheetName val="Meßentgelte"/>
      <sheetName val="Preisblatt_VV2"/>
      <sheetName val="Umsetzungstabelle_BH_V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E ARBEIT"/>
      <sheetName val="Gruppierung Arbeit OV"/>
      <sheetName val="Gruppierung Arbeit OT"/>
      <sheetName val="Staffelpreis Arbeit"/>
      <sheetName val="Diagramm"/>
    </sheetNames>
    <sheetDataSet>
      <sheetData sheetId="0">
        <row r="27">
          <cell r="S27">
            <v>1.33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E Leistung"/>
      <sheetName val="Gruppierung Leistung OV"/>
      <sheetName val="Gruppierung Leistung OT"/>
      <sheetName val="Staffelpreis Leistung"/>
      <sheetName val="Diagramm"/>
    </sheetNames>
    <sheetDataSet>
      <sheetData sheetId="0">
        <row r="27">
          <cell r="S27">
            <v>1.1950000000000001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GDRM_Anlagen"/>
      <sheetName val="Tabelle3"/>
      <sheetName val="AnzahlZaehler"/>
      <sheetName val="Verprobung MAM"/>
      <sheetName val="ZählerKosten"/>
      <sheetName val="Aufbau Preisblatt"/>
    </sheetNames>
    <sheetDataSet>
      <sheetData sheetId="0" refreshError="1"/>
      <sheetData sheetId="1" refreshError="1"/>
      <sheetData sheetId="2" refreshError="1"/>
      <sheetData sheetId="3">
        <row r="40">
          <cell r="G40">
            <v>5.45</v>
          </cell>
        </row>
        <row r="41">
          <cell r="G41">
            <v>322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6"/>
    <pageSetUpPr fitToPage="1"/>
  </sheetPr>
  <dimension ref="A1:L79"/>
  <sheetViews>
    <sheetView tabSelected="1" zoomScale="70" zoomScaleNormal="70" workbookViewId="0">
      <selection activeCell="C62" sqref="C62:F62"/>
    </sheetView>
  </sheetViews>
  <sheetFormatPr baseColWidth="10" defaultColWidth="0" defaultRowHeight="13.5" zeroHeight="1" outlineLevelRow="2" x14ac:dyDescent="0.25"/>
  <cols>
    <col min="1" max="1" width="1.5703125" style="3" customWidth="1"/>
    <col min="2" max="2" width="21" style="3" customWidth="1"/>
    <col min="3" max="3" width="25.140625" style="3" customWidth="1"/>
    <col min="4" max="4" width="19" style="3" customWidth="1"/>
    <col min="5" max="5" width="10.85546875" style="3" customWidth="1"/>
    <col min="6" max="6" width="20.28515625" style="3" customWidth="1"/>
    <col min="7" max="7" width="26.7109375" style="12" customWidth="1"/>
    <col min="8" max="8" width="3.85546875" style="3" customWidth="1"/>
    <col min="9" max="9" width="17.5703125" style="3" hidden="1" customWidth="1"/>
    <col min="10" max="12" width="17.5703125" style="2" hidden="1" customWidth="1"/>
    <col min="13" max="16384" width="17.5703125" style="3" hidden="1"/>
  </cols>
  <sheetData>
    <row r="1" spans="1:9" ht="27.75" customHeight="1" thickBot="1" x14ac:dyDescent="0.3">
      <c r="A1" s="303"/>
      <c r="B1" s="365" t="s">
        <v>156</v>
      </c>
      <c r="C1" s="366"/>
      <c r="D1" s="366"/>
      <c r="E1" s="366"/>
      <c r="F1" s="366"/>
      <c r="G1" s="367"/>
      <c r="H1" s="1"/>
      <c r="I1" s="1"/>
    </row>
    <row r="2" spans="1:9" s="4" customFormat="1" ht="27.75" customHeight="1" x14ac:dyDescent="0.25">
      <c r="A2" s="303"/>
      <c r="B2" s="13" t="s">
        <v>132</v>
      </c>
      <c r="C2" s="14"/>
      <c r="D2" s="15"/>
      <c r="E2" s="15"/>
      <c r="G2" s="16" t="s">
        <v>141</v>
      </c>
    </row>
    <row r="3" spans="1:9" ht="2.25" customHeight="1" x14ac:dyDescent="0.25">
      <c r="A3" s="303"/>
      <c r="B3" s="305"/>
      <c r="C3" s="305"/>
      <c r="D3" s="305"/>
      <c r="E3" s="305"/>
      <c r="F3" s="305"/>
      <c r="G3" s="305"/>
      <c r="H3" s="305"/>
      <c r="I3" s="300"/>
    </row>
    <row r="4" spans="1:9" ht="24" customHeight="1" x14ac:dyDescent="0.25">
      <c r="A4" s="303"/>
      <c r="B4" s="17"/>
      <c r="D4" s="309" t="s">
        <v>87</v>
      </c>
      <c r="E4" s="310"/>
      <c r="F4" s="311"/>
      <c r="G4" s="12" t="s">
        <v>76</v>
      </c>
      <c r="H4" s="305"/>
    </row>
    <row r="5" spans="1:9" ht="3.75" customHeight="1" thickBot="1" x14ac:dyDescent="0.3">
      <c r="A5" s="303"/>
      <c r="B5" s="300"/>
      <c r="C5" s="300"/>
      <c r="D5" s="300"/>
      <c r="E5" s="300"/>
      <c r="F5" s="300"/>
      <c r="G5" s="18"/>
      <c r="H5" s="305"/>
    </row>
    <row r="6" spans="1:9" ht="31.5" customHeight="1" thickBot="1" x14ac:dyDescent="0.3">
      <c r="A6" s="303"/>
      <c r="C6" s="19" t="s">
        <v>117</v>
      </c>
      <c r="D6" s="20">
        <v>125000</v>
      </c>
      <c r="E6" s="301" t="s">
        <v>17</v>
      </c>
      <c r="G6" s="21" t="s">
        <v>19</v>
      </c>
      <c r="H6" s="305"/>
    </row>
    <row r="7" spans="1:9" ht="31.5" customHeight="1" thickBot="1" x14ac:dyDescent="0.3">
      <c r="A7" s="303"/>
      <c r="C7" s="19" t="s">
        <v>127</v>
      </c>
      <c r="D7" s="22">
        <v>70</v>
      </c>
      <c r="E7" s="301" t="s">
        <v>16</v>
      </c>
      <c r="F7" s="23">
        <f>IF(D7=0,IF(D6&gt;1500000,"Leistungswert 
bitte eintragen",""),IF(+D6/D7&gt;8600,"unplausibler Leistungswert",D6/D7))</f>
        <v>1785.7142857142858</v>
      </c>
      <c r="G7" s="24" t="str">
        <f>+IF(D7&lt;0.5," ",IF(D7=""," ",IF(G6="RLM","",IF(F7&gt;2500,"prüfen ob RLM 
evtl. wirtschaftlich",""))))</f>
        <v/>
      </c>
      <c r="H7" s="305"/>
    </row>
    <row r="8" spans="1:9" ht="18" customHeight="1" x14ac:dyDescent="0.25">
      <c r="A8" s="303"/>
      <c r="C8" s="3" t="s">
        <v>126</v>
      </c>
      <c r="G8" s="3"/>
      <c r="H8" s="305"/>
    </row>
    <row r="9" spans="1:9" ht="0.75" customHeight="1" x14ac:dyDescent="0.25">
      <c r="A9" s="303"/>
      <c r="H9" s="305"/>
    </row>
    <row r="10" spans="1:9" s="4" customFormat="1" ht="24.75" customHeight="1" thickBot="1" x14ac:dyDescent="0.3">
      <c r="A10" s="303"/>
      <c r="B10" s="25" t="s">
        <v>72</v>
      </c>
      <c r="C10" s="26"/>
      <c r="D10" s="26"/>
      <c r="E10" s="26"/>
      <c r="F10" s="26"/>
      <c r="G10" s="1"/>
      <c r="H10" s="305"/>
    </row>
    <row r="11" spans="1:9" x14ac:dyDescent="0.25">
      <c r="A11" s="303"/>
      <c r="B11" s="3" t="s">
        <v>158</v>
      </c>
      <c r="H11" s="305"/>
    </row>
    <row r="12" spans="1:9" ht="7.5" customHeight="1" x14ac:dyDescent="0.25">
      <c r="A12" s="303"/>
      <c r="H12" s="305"/>
    </row>
    <row r="13" spans="1:9" s="5" customFormat="1" ht="15.75" customHeight="1" outlineLevel="1" x14ac:dyDescent="0.25">
      <c r="A13" s="303"/>
      <c r="B13" s="27" t="s">
        <v>71</v>
      </c>
      <c r="C13" s="28"/>
      <c r="D13" s="29"/>
      <c r="E13" s="28"/>
      <c r="F13" s="28"/>
      <c r="G13" s="30"/>
      <c r="H13" s="305"/>
      <c r="I13" s="3"/>
    </row>
    <row r="14" spans="1:9" ht="13.5" customHeight="1" outlineLevel="1" x14ac:dyDescent="0.25">
      <c r="A14" s="303"/>
      <c r="B14" s="304"/>
      <c r="C14" s="304"/>
      <c r="D14" s="304"/>
      <c r="E14" s="304"/>
      <c r="F14" s="304"/>
      <c r="G14" s="304"/>
      <c r="H14" s="305"/>
    </row>
    <row r="15" spans="1:9" s="300" customFormat="1" ht="13.5" customHeight="1" outlineLevel="1" x14ac:dyDescent="0.25">
      <c r="A15" s="303"/>
      <c r="B15" s="31" t="s">
        <v>5</v>
      </c>
      <c r="C15" s="32" t="s">
        <v>0</v>
      </c>
      <c r="D15" s="33" t="s">
        <v>1</v>
      </c>
      <c r="E15" s="32" t="s">
        <v>2</v>
      </c>
      <c r="F15" s="34" t="s">
        <v>3</v>
      </c>
      <c r="G15" s="35" t="s">
        <v>4</v>
      </c>
      <c r="H15" s="305"/>
      <c r="I15" s="3"/>
    </row>
    <row r="16" spans="1:9" outlineLevel="1" x14ac:dyDescent="0.25">
      <c r="A16" s="303"/>
      <c r="B16" s="36">
        <f>+LOOKUP(D6,'Preistabellen inkl. VNB'!C9:C15,'Preistabellen inkl. VNB'!F9:F15)</f>
        <v>100000</v>
      </c>
      <c r="C16" s="37">
        <f>+LOOKUP(D6,'Preistabellen inkl. VNB'!C9:C15,'Preistabellen inkl. VNB'!E9:E15)</f>
        <v>1353.77</v>
      </c>
      <c r="D16" s="36">
        <f>(+D6-B16)</f>
        <v>25000</v>
      </c>
      <c r="E16" s="38">
        <f>+LOOKUP(D6,'Preistabellen inkl. VNB'!C9:C15,'Preistabellen inkl. VNB'!G9:G15)</f>
        <v>1.3525</v>
      </c>
      <c r="F16" s="39">
        <f>(+E16/100*D16)</f>
        <v>338.125</v>
      </c>
      <c r="G16" s="3"/>
      <c r="H16" s="305"/>
      <c r="I16" s="6"/>
    </row>
    <row r="17" spans="1:9" ht="3" customHeight="1" outlineLevel="1" x14ac:dyDescent="0.25">
      <c r="A17" s="303"/>
      <c r="B17" s="7"/>
      <c r="C17" s="40"/>
      <c r="D17" s="7"/>
      <c r="E17" s="41"/>
      <c r="F17" s="42"/>
      <c r="G17" s="3"/>
      <c r="H17" s="305"/>
      <c r="I17" s="6"/>
    </row>
    <row r="18" spans="1:9" ht="28.5" customHeight="1" x14ac:dyDescent="0.25">
      <c r="A18" s="303"/>
      <c r="B18" s="43" t="s">
        <v>133</v>
      </c>
      <c r="C18" s="44"/>
      <c r="D18" s="44"/>
      <c r="E18" s="44"/>
      <c r="F18" s="44"/>
      <c r="G18" s="45">
        <f>+F16+C16</f>
        <v>1691.895</v>
      </c>
      <c r="H18" s="305"/>
      <c r="I18" s="6"/>
    </row>
    <row r="19" spans="1:9" s="6" customFormat="1" ht="9.75" customHeight="1" x14ac:dyDescent="0.25">
      <c r="A19" s="303"/>
      <c r="B19" s="7"/>
      <c r="C19" s="40"/>
      <c r="D19" s="7"/>
      <c r="E19" s="7"/>
      <c r="F19" s="7"/>
      <c r="G19" s="46"/>
      <c r="H19" s="305"/>
      <c r="I19" s="7"/>
    </row>
    <row r="20" spans="1:9" s="4" customFormat="1" ht="24.75" customHeight="1" thickBot="1" x14ac:dyDescent="0.3">
      <c r="A20" s="303"/>
      <c r="B20" s="25" t="s">
        <v>73</v>
      </c>
      <c r="C20" s="26"/>
      <c r="D20" s="26"/>
      <c r="E20" s="26"/>
      <c r="F20" s="26"/>
      <c r="G20" s="1"/>
      <c r="H20" s="305"/>
    </row>
    <row r="21" spans="1:9" ht="7.5" customHeight="1" x14ac:dyDescent="0.25">
      <c r="A21" s="303"/>
      <c r="B21" s="47"/>
      <c r="C21" s="47"/>
      <c r="D21" s="47"/>
      <c r="E21" s="47"/>
      <c r="F21" s="47"/>
      <c r="G21" s="48"/>
      <c r="H21" s="305"/>
    </row>
    <row r="22" spans="1:9" s="5" customFormat="1" ht="20.25" customHeight="1" outlineLevel="1" x14ac:dyDescent="0.25">
      <c r="A22" s="303"/>
      <c r="B22" s="43" t="s">
        <v>74</v>
      </c>
      <c r="C22" s="44"/>
      <c r="D22" s="44"/>
      <c r="E22" s="44"/>
      <c r="F22" s="49"/>
      <c r="G22" s="48"/>
      <c r="H22" s="305"/>
      <c r="I22" s="3"/>
    </row>
    <row r="23" spans="1:9" s="5" customFormat="1" ht="4.5" customHeight="1" outlineLevel="1" x14ac:dyDescent="0.25">
      <c r="A23" s="303"/>
      <c r="B23" s="50"/>
      <c r="C23" s="50"/>
      <c r="D23" s="50"/>
      <c r="E23" s="50"/>
      <c r="F23" s="50"/>
      <c r="G23" s="48"/>
      <c r="H23" s="305"/>
      <c r="I23" s="3"/>
    </row>
    <row r="24" spans="1:9" ht="6.75" customHeight="1" outlineLevel="1" x14ac:dyDescent="0.25">
      <c r="A24" s="303"/>
      <c r="B24" s="47"/>
      <c r="C24" s="47"/>
      <c r="D24" s="47"/>
      <c r="E24" s="47"/>
      <c r="F24" s="47"/>
      <c r="G24" s="48"/>
      <c r="H24" s="305"/>
    </row>
    <row r="25" spans="1:9" ht="17.25" customHeight="1" outlineLevel="2" x14ac:dyDescent="0.25">
      <c r="A25" s="303"/>
      <c r="C25" s="19" t="s">
        <v>13</v>
      </c>
      <c r="D25" s="51">
        <f>+D6</f>
        <v>125000</v>
      </c>
      <c r="E25" s="47" t="s">
        <v>17</v>
      </c>
      <c r="G25" s="48"/>
      <c r="H25" s="305"/>
    </row>
    <row r="26" spans="1:9" ht="17.25" customHeight="1" outlineLevel="2" x14ac:dyDescent="0.25">
      <c r="A26" s="303"/>
      <c r="C26" s="52" t="s">
        <v>58</v>
      </c>
      <c r="D26" s="53">
        <f>+LOOKUP(D25,'Preistabellen inkl. VNB'!C23:C30,'Preistabellen inkl. VNB'!B23:B30)</f>
        <v>1</v>
      </c>
      <c r="E26" s="47" t="s">
        <v>85</v>
      </c>
      <c r="G26" s="48"/>
      <c r="H26" s="305"/>
    </row>
    <row r="27" spans="1:9" ht="17.25" customHeight="1" outlineLevel="2" x14ac:dyDescent="0.25">
      <c r="A27" s="303"/>
      <c r="C27" s="52" t="s">
        <v>14</v>
      </c>
      <c r="D27" s="54">
        <f>+LOOKUP(D25,'Preistabellen inkl. VNB'!C23:C30,'Preistabellen inkl. VNB'!G23:G30)</f>
        <v>0.32369999999999999</v>
      </c>
      <c r="E27" s="47" t="s">
        <v>15</v>
      </c>
      <c r="G27" s="48"/>
      <c r="H27" s="305"/>
      <c r="I27" s="300"/>
    </row>
    <row r="28" spans="1:9" ht="17.25" customHeight="1" outlineLevel="2" x14ac:dyDescent="0.25">
      <c r="A28" s="303"/>
      <c r="C28" s="52" t="s">
        <v>45</v>
      </c>
      <c r="D28" s="55">
        <f>+LOOKUP(D25,'Preistabellen inkl. VNB'!C23:C30,'Preistabellen inkl. VNB'!E23:E30)</f>
        <v>0</v>
      </c>
      <c r="E28" s="47" t="s">
        <v>85</v>
      </c>
      <c r="G28" s="48"/>
      <c r="H28" s="305"/>
      <c r="I28" s="300"/>
    </row>
    <row r="29" spans="1:9" ht="17.25" customHeight="1" outlineLevel="2" x14ac:dyDescent="0.25">
      <c r="A29" s="303"/>
      <c r="C29" s="52" t="s">
        <v>59</v>
      </c>
      <c r="D29" s="54">
        <f>+LOOKUP(D25,'Preistabellen inkl. VNB'!C23:C30,'Preistabellen inkl. VNB'!F23:F30)</f>
        <v>0</v>
      </c>
      <c r="E29" s="47" t="s">
        <v>85</v>
      </c>
      <c r="G29" s="48"/>
      <c r="H29" s="305"/>
      <c r="I29" s="300"/>
    </row>
    <row r="30" spans="1:9" ht="17.25" customHeight="1" outlineLevel="2" x14ac:dyDescent="0.25">
      <c r="A30" s="303"/>
      <c r="C30" s="52" t="s">
        <v>1</v>
      </c>
      <c r="D30" s="54">
        <f>+D25-D29</f>
        <v>125000</v>
      </c>
      <c r="E30" s="47" t="s">
        <v>85</v>
      </c>
      <c r="G30" s="48"/>
      <c r="H30" s="305"/>
      <c r="I30" s="300"/>
    </row>
    <row r="31" spans="1:9" ht="4.5" customHeight="1" outlineLevel="2" x14ac:dyDescent="0.25">
      <c r="A31" s="303"/>
      <c r="B31" s="47"/>
      <c r="C31" s="47"/>
      <c r="D31" s="47"/>
      <c r="E31" s="47"/>
      <c r="G31" s="48"/>
      <c r="H31" s="305"/>
      <c r="I31" s="300"/>
    </row>
    <row r="32" spans="1:9" s="5" customFormat="1" ht="20.25" customHeight="1" outlineLevel="1" x14ac:dyDescent="0.25">
      <c r="A32" s="303"/>
      <c r="B32" s="315" t="s">
        <v>82</v>
      </c>
      <c r="C32" s="316"/>
      <c r="D32" s="316"/>
      <c r="E32" s="317"/>
      <c r="F32" s="56">
        <f>ROUND(+D30*D27/100+D28,2)</f>
        <v>404.63</v>
      </c>
      <c r="G32" s="57"/>
      <c r="H32" s="305"/>
      <c r="I32" s="302"/>
    </row>
    <row r="33" spans="1:9" ht="5.25" customHeight="1" outlineLevel="1" x14ac:dyDescent="0.25">
      <c r="A33" s="303"/>
      <c r="B33" s="47"/>
      <c r="C33" s="47"/>
      <c r="D33" s="47"/>
      <c r="E33" s="47"/>
      <c r="F33" s="58"/>
      <c r="G33" s="48"/>
      <c r="H33" s="305"/>
      <c r="I33" s="300"/>
    </row>
    <row r="34" spans="1:9" ht="21" customHeight="1" outlineLevel="2" x14ac:dyDescent="0.25">
      <c r="A34" s="303"/>
      <c r="C34" s="52" t="s">
        <v>75</v>
      </c>
      <c r="D34" s="59">
        <f>+D7</f>
        <v>70</v>
      </c>
      <c r="E34" s="47" t="s">
        <v>48</v>
      </c>
      <c r="H34" s="305"/>
      <c r="I34" s="300"/>
    </row>
    <row r="35" spans="1:9" ht="21" customHeight="1" outlineLevel="2" x14ac:dyDescent="0.25">
      <c r="A35" s="303"/>
      <c r="C35" s="52" t="s">
        <v>58</v>
      </c>
      <c r="D35" s="60">
        <f>+LOOKUP(D34,'Preistabellen inkl. VNB'!C37:C46,'Preistabellen inkl. VNB'!B37:B46)</f>
        <v>1</v>
      </c>
      <c r="E35" s="47"/>
      <c r="H35" s="305"/>
      <c r="I35" s="300"/>
    </row>
    <row r="36" spans="1:9" ht="21" customHeight="1" outlineLevel="2" x14ac:dyDescent="0.25">
      <c r="A36" s="303"/>
      <c r="C36" s="52" t="s">
        <v>7</v>
      </c>
      <c r="D36" s="61">
        <f>+LOOKUP(D34,'Preistabellen inkl. VNB'!C37:C46,'Preistabellen inkl. VNB'!G37:G46)</f>
        <v>20.2486</v>
      </c>
      <c r="E36" s="47" t="s">
        <v>12</v>
      </c>
      <c r="F36" s="62"/>
      <c r="H36" s="305"/>
      <c r="I36" s="300"/>
    </row>
    <row r="37" spans="1:9" ht="21" customHeight="1" outlineLevel="2" x14ac:dyDescent="0.25">
      <c r="A37" s="303"/>
      <c r="C37" s="52" t="s">
        <v>45</v>
      </c>
      <c r="D37" s="55">
        <f>+LOOKUP(D34,'Preistabellen inkl. VNB'!C37:C46,'Preistabellen inkl. VNB'!E37:E46)</f>
        <v>0</v>
      </c>
      <c r="E37" s="47"/>
      <c r="H37" s="305"/>
      <c r="I37" s="300"/>
    </row>
    <row r="38" spans="1:9" ht="21" customHeight="1" outlineLevel="2" x14ac:dyDescent="0.25">
      <c r="A38" s="303"/>
      <c r="C38" s="52" t="s">
        <v>65</v>
      </c>
      <c r="D38" s="54">
        <f>+LOOKUP(D34,'Preistabellen inkl. VNB'!C37:C46,'Preistabellen inkl. VNB'!F37:F46)</f>
        <v>0</v>
      </c>
      <c r="E38" s="47"/>
      <c r="H38" s="305"/>
      <c r="I38" s="300"/>
    </row>
    <row r="39" spans="1:9" ht="21" customHeight="1" outlineLevel="2" x14ac:dyDescent="0.25">
      <c r="A39" s="303"/>
      <c r="C39" s="52" t="s">
        <v>66</v>
      </c>
      <c r="D39" s="54">
        <f>+D34-D38</f>
        <v>70</v>
      </c>
      <c r="E39" s="47"/>
      <c r="F39" s="58"/>
      <c r="G39" s="63"/>
      <c r="H39" s="305"/>
      <c r="I39" s="300"/>
    </row>
    <row r="40" spans="1:9" ht="6.75" customHeight="1" outlineLevel="2" x14ac:dyDescent="0.25">
      <c r="A40" s="303"/>
      <c r="B40" s="47"/>
      <c r="C40" s="47"/>
      <c r="D40" s="47"/>
      <c r="E40" s="47"/>
      <c r="F40" s="58"/>
      <c r="G40" s="48"/>
      <c r="H40" s="305"/>
      <c r="I40" s="300"/>
    </row>
    <row r="41" spans="1:9" s="5" customFormat="1" ht="21" customHeight="1" outlineLevel="1" x14ac:dyDescent="0.25">
      <c r="A41" s="303"/>
      <c r="B41" s="315" t="s">
        <v>83</v>
      </c>
      <c r="C41" s="316"/>
      <c r="D41" s="316"/>
      <c r="E41" s="317"/>
      <c r="F41" s="64">
        <f>ROUND(+D39*D36+D37,2)</f>
        <v>1417.4</v>
      </c>
      <c r="G41" s="65">
        <f>+F41/12</f>
        <v>118.11666666666667</v>
      </c>
      <c r="H41" s="305"/>
      <c r="I41" s="302"/>
    </row>
    <row r="42" spans="1:9" ht="4.5" customHeight="1" outlineLevel="1" x14ac:dyDescent="0.25">
      <c r="A42" s="303"/>
      <c r="B42" s="47"/>
      <c r="C42" s="47"/>
      <c r="E42" s="47"/>
      <c r="F42" s="47"/>
      <c r="G42" s="48"/>
      <c r="H42" s="305"/>
      <c r="I42" s="300"/>
    </row>
    <row r="43" spans="1:9" s="9" customFormat="1" ht="28.5" customHeight="1" outlineLevel="1" x14ac:dyDescent="0.25">
      <c r="A43" s="303"/>
      <c r="B43" s="43" t="s">
        <v>134</v>
      </c>
      <c r="C43" s="44"/>
      <c r="D43" s="44"/>
      <c r="E43" s="44"/>
      <c r="F43" s="44"/>
      <c r="G43" s="45">
        <f>+F41+F32</f>
        <v>1822.0300000000002</v>
      </c>
      <c r="H43" s="305"/>
      <c r="I43" s="8"/>
    </row>
    <row r="44" spans="1:9" ht="6.75" customHeight="1" x14ac:dyDescent="0.25">
      <c r="A44" s="303"/>
      <c r="B44" s="300"/>
      <c r="C44" s="300"/>
      <c r="D44" s="300"/>
      <c r="E44" s="300"/>
      <c r="F44" s="300"/>
      <c r="G44" s="300"/>
      <c r="H44" s="305"/>
      <c r="I44" s="300"/>
    </row>
    <row r="45" spans="1:9" s="4" customFormat="1" ht="24.75" customHeight="1" x14ac:dyDescent="0.25">
      <c r="A45" s="303"/>
      <c r="B45" s="66" t="s">
        <v>69</v>
      </c>
      <c r="C45" s="67"/>
      <c r="D45" s="67"/>
      <c r="E45" s="67"/>
      <c r="F45" s="67"/>
      <c r="G45" s="68"/>
      <c r="H45" s="305"/>
    </row>
    <row r="46" spans="1:9" ht="6" customHeight="1" x14ac:dyDescent="0.25">
      <c r="A46" s="303"/>
      <c r="H46" s="305"/>
    </row>
    <row r="47" spans="1:9" ht="24" customHeight="1" x14ac:dyDescent="0.25">
      <c r="A47" s="303"/>
      <c r="B47" s="3" t="s">
        <v>18</v>
      </c>
      <c r="C47" s="69" t="s">
        <v>25</v>
      </c>
      <c r="D47" s="319" t="str">
        <f>+IF(C53="Ja","anbindungsfähiger Zähler derzeit nur bei G4","")</f>
        <v/>
      </c>
      <c r="E47" s="320"/>
      <c r="F47" s="321"/>
      <c r="G47" s="70">
        <f>+VLOOKUP(C47,Messtechnik!B6:C20,2,0)</f>
        <v>67</v>
      </c>
      <c r="H47" s="305"/>
    </row>
    <row r="48" spans="1:9" ht="6" customHeight="1" x14ac:dyDescent="0.25">
      <c r="A48" s="303"/>
      <c r="H48" s="305"/>
    </row>
    <row r="49" spans="1:9" ht="24" customHeight="1" x14ac:dyDescent="0.25">
      <c r="A49" s="303"/>
      <c r="B49" s="3" t="s">
        <v>40</v>
      </c>
      <c r="C49" s="69" t="s">
        <v>84</v>
      </c>
      <c r="G49" s="70">
        <f>+IF(C49="Ja",Messtechnik!C21,0)</f>
        <v>0</v>
      </c>
      <c r="H49" s="305"/>
    </row>
    <row r="50" spans="1:9" ht="6" customHeight="1" x14ac:dyDescent="0.25">
      <c r="A50" s="303"/>
      <c r="H50" s="305"/>
    </row>
    <row r="51" spans="1:9" ht="24" customHeight="1" x14ac:dyDescent="0.25">
      <c r="A51" s="303"/>
      <c r="B51" s="3" t="s">
        <v>41</v>
      </c>
      <c r="C51" s="69" t="s">
        <v>84</v>
      </c>
      <c r="F51" s="255" t="str">
        <f>+IF(C49="Ja","Tarifgerät im Mengenumwerter integriert","")</f>
        <v/>
      </c>
      <c r="G51" s="70">
        <f>+IF(C51="Ja",IF(C49="Ja",0,Messtechnik!C22),0)</f>
        <v>0</v>
      </c>
      <c r="H51" s="305"/>
    </row>
    <row r="52" spans="1:9" ht="6" hidden="1" customHeight="1" x14ac:dyDescent="0.25">
      <c r="A52" s="303"/>
      <c r="G52" s="71"/>
      <c r="H52" s="305"/>
    </row>
    <row r="53" spans="1:9" ht="18" hidden="1" customHeight="1" x14ac:dyDescent="0.25">
      <c r="A53" s="303"/>
      <c r="B53" s="3" t="s">
        <v>120</v>
      </c>
      <c r="C53" s="69" t="s">
        <v>84</v>
      </c>
      <c r="D53" s="3" t="s">
        <v>122</v>
      </c>
      <c r="G53" s="70">
        <f>+IF(C53="Ja",IF(G6="SLP",Messtechnik!C27*(VLOOKUP(C47,Messtechnik!$B$5:$E$20,4,0)),0),0)</f>
        <v>0</v>
      </c>
      <c r="H53" s="305"/>
    </row>
    <row r="54" spans="1:9" ht="14.25" customHeight="1" x14ac:dyDescent="0.25">
      <c r="A54" s="303"/>
      <c r="H54" s="305"/>
    </row>
    <row r="55" spans="1:9" ht="24.75" customHeight="1" x14ac:dyDescent="0.25">
      <c r="A55" s="303"/>
      <c r="B55" s="66" t="s">
        <v>70</v>
      </c>
      <c r="C55" s="67"/>
      <c r="D55" s="67"/>
      <c r="E55" s="67"/>
      <c r="F55" s="67"/>
      <c r="H55" s="305"/>
    </row>
    <row r="56" spans="1:9" ht="6" customHeight="1" x14ac:dyDescent="0.25">
      <c r="A56" s="303"/>
      <c r="C56" s="72"/>
      <c r="D56" s="72"/>
      <c r="H56" s="305"/>
    </row>
    <row r="57" spans="1:9" ht="27" customHeight="1" x14ac:dyDescent="0.25">
      <c r="A57" s="303"/>
      <c r="B57" s="306" t="s">
        <v>35</v>
      </c>
      <c r="C57" s="73" t="str">
        <f>+IF(G6="RLM","Ja","Nein")</f>
        <v>Nein</v>
      </c>
      <c r="D57" s="322" t="str">
        <f>+IF(C57="Nein","= Ablesekarte je Abrechnung vom Kunden ausgefüllt"," = tägliche Zähldatenerfassung durch NGS")</f>
        <v>= Ablesekarte je Abrechnung vom Kunden ausgefüllt</v>
      </c>
      <c r="E57" s="305"/>
      <c r="F57" s="323"/>
      <c r="G57" s="74">
        <f>+IF(G6="RLM","0",IF(C57="Ja",Messtechnik!D25,Messtechnik!D6))*1</f>
        <v>2.2000000000000002</v>
      </c>
      <c r="H57" s="305"/>
    </row>
    <row r="58" spans="1:9" ht="27" customHeight="1" x14ac:dyDescent="0.25">
      <c r="A58" s="303"/>
      <c r="B58" s="306"/>
      <c r="C58" s="75" t="s">
        <v>131</v>
      </c>
      <c r="D58" s="322" t="str">
        <f>IF(G6="SLP","keine Zählerfernauslesung bei SLP-Abnahmestellen",+IF(C58=Messtechnik!B26,"",""))</f>
        <v>keine Zählerfernauslesung bei SLP-Abnahmestellen</v>
      </c>
      <c r="E58" s="305"/>
      <c r="F58" s="323"/>
      <c r="G58" s="74">
        <f>IFERROR((+VLOOKUP(C58,Messtechnik!B23:D26,3,0)*1),0)*I58</f>
        <v>0</v>
      </c>
      <c r="H58" s="305"/>
      <c r="I58" s="3">
        <f>+IF(C57="nein",0,1)</f>
        <v>0</v>
      </c>
    </row>
    <row r="59" spans="1:9" ht="6" customHeight="1" x14ac:dyDescent="0.25">
      <c r="A59" s="303"/>
      <c r="H59" s="305"/>
    </row>
    <row r="60" spans="1:9" ht="24.75" customHeight="1" x14ac:dyDescent="0.25">
      <c r="A60" s="303"/>
      <c r="B60" s="66" t="s">
        <v>51</v>
      </c>
      <c r="C60" s="67"/>
      <c r="D60" s="67"/>
      <c r="E60" s="67"/>
      <c r="F60" s="67"/>
      <c r="H60" s="305"/>
    </row>
    <row r="61" spans="1:9" ht="6" customHeight="1" x14ac:dyDescent="0.25">
      <c r="A61" s="303"/>
      <c r="H61" s="305"/>
    </row>
    <row r="62" spans="1:9" ht="19.5" x14ac:dyDescent="0.25">
      <c r="A62" s="303"/>
      <c r="B62" s="3" t="s">
        <v>49</v>
      </c>
      <c r="C62" s="312" t="s">
        <v>89</v>
      </c>
      <c r="D62" s="313"/>
      <c r="E62" s="313"/>
      <c r="F62" s="314"/>
      <c r="G62" s="76">
        <f>+VLOOKUP(C62,Messtechnik!B31:E35,3,0)</f>
        <v>0</v>
      </c>
      <c r="H62" s="305"/>
    </row>
    <row r="63" spans="1:9" x14ac:dyDescent="0.25">
      <c r="A63" s="303"/>
      <c r="H63" s="305"/>
    </row>
    <row r="64" spans="1:9" ht="50.25" customHeight="1" x14ac:dyDescent="0.25">
      <c r="A64" s="303"/>
      <c r="B64" s="307" t="s">
        <v>135</v>
      </c>
      <c r="C64" s="308"/>
      <c r="D64" s="308"/>
      <c r="E64" s="308"/>
      <c r="F64" s="77" t="str">
        <f>+G6</f>
        <v>SLP</v>
      </c>
      <c r="G64" s="78">
        <f>+IF(F64="SLP",G18+G47+G53+G57+G62+G49+G51,G43+G47+G49+G51+G53+G57+G62+G58)</f>
        <v>1761.095</v>
      </c>
      <c r="H64" s="305"/>
    </row>
    <row r="65" spans="1:12" ht="6" customHeight="1" x14ac:dyDescent="0.25">
      <c r="A65" s="303"/>
      <c r="B65" s="79"/>
      <c r="C65" s="79"/>
      <c r="D65" s="79"/>
      <c r="E65" s="79"/>
      <c r="F65" s="80"/>
      <c r="G65" s="81"/>
      <c r="H65" s="300"/>
    </row>
    <row r="66" spans="1:12" ht="6" customHeight="1" x14ac:dyDescent="0.25">
      <c r="A66" s="303"/>
      <c r="B66" s="79"/>
      <c r="C66" s="79"/>
      <c r="D66" s="79"/>
      <c r="E66" s="79"/>
      <c r="F66" s="80"/>
      <c r="G66" s="81"/>
      <c r="H66" s="300"/>
    </row>
    <row r="67" spans="1:12" ht="21" hidden="1" x14ac:dyDescent="0.25">
      <c r="A67" s="303"/>
      <c r="B67" s="82" t="s">
        <v>86</v>
      </c>
    </row>
    <row r="68" spans="1:12" s="10" customFormat="1" ht="17.25" hidden="1" customHeight="1" x14ac:dyDescent="0.25">
      <c r="A68" s="303"/>
      <c r="B68" s="318" t="s">
        <v>123</v>
      </c>
      <c r="C68" s="318"/>
      <c r="D68" s="318"/>
      <c r="E68" s="318"/>
      <c r="F68" s="30" t="s">
        <v>124</v>
      </c>
      <c r="G68" s="30">
        <f>+G18+G47+G49+G51+G53+G57+G58+G62</f>
        <v>1761.095</v>
      </c>
      <c r="J68" s="11"/>
      <c r="K68" s="11"/>
      <c r="L68" s="11"/>
    </row>
    <row r="69" spans="1:12" s="10" customFormat="1" ht="17.25" hidden="1" customHeight="1" x14ac:dyDescent="0.25">
      <c r="A69" s="303"/>
      <c r="B69" s="318"/>
      <c r="C69" s="318"/>
      <c r="D69" s="318"/>
      <c r="E69" s="318"/>
      <c r="F69" s="30" t="s">
        <v>125</v>
      </c>
      <c r="G69" s="30">
        <f>IF(D7=0,"",G47+G49+G51+G57+G58+G62+G43)</f>
        <v>1891.2300000000002</v>
      </c>
      <c r="J69" s="11"/>
      <c r="K69" s="11"/>
      <c r="L69" s="11"/>
    </row>
    <row r="70" spans="1:12" ht="13.5" hidden="1" customHeight="1" x14ac:dyDescent="0.25">
      <c r="A70" s="303"/>
      <c r="G70" s="46"/>
    </row>
    <row r="71" spans="1:12" ht="12.75" hidden="1" customHeight="1" x14ac:dyDescent="0.25"/>
    <row r="72" spans="1:12" ht="12.75" hidden="1" customHeight="1" x14ac:dyDescent="0.25"/>
    <row r="73" spans="1:12" hidden="1" x14ac:dyDescent="0.25"/>
    <row r="74" spans="1:12" hidden="1" x14ac:dyDescent="0.25"/>
    <row r="75" spans="1:12" hidden="1" x14ac:dyDescent="0.25"/>
    <row r="76" spans="1:12" hidden="1" x14ac:dyDescent="0.25"/>
    <row r="77" spans="1:12" hidden="1" x14ac:dyDescent="0.25"/>
    <row r="78" spans="1:12" hidden="1" x14ac:dyDescent="0.25"/>
    <row r="79" spans="1:12" hidden="1" x14ac:dyDescent="0.25"/>
  </sheetData>
  <sheetProtection algorithmName="SHA-512" hashValue="cWZaGsVZUs37cWDyeA1i+9cQgNBtHSfxLdB74CHJd1ZHLVIbclUrGfIKl5B7v7FOgK560/Sv9NkFvArL0sBReA==" saltValue="vgPF29T7CvIPKRjbOIP/aA==" spinCount="100000" sheet="1" selectLockedCells="1"/>
  <customSheetViews>
    <customSheetView guid="{2F2906FD-A594-42FF-825D-21A69F4D3CD5}" scale="70" hiddenRows="1" hiddenColumns="1" topLeftCell="A2">
      <selection activeCell="E9" sqref="E9"/>
      <rowBreaks count="1" manualBreakCount="1">
        <brk id="65" max="7" man="1"/>
      </rowBreaks>
      <pageMargins left="0.70866141732283472" right="0.23622047244094491" top="0.52" bottom="0.51181102362204722" header="0.15748031496062992" footer="0.19685039370078741"/>
      <pageSetup paperSize="9" scale="62" orientation="portrait" r:id="rId1"/>
      <headerFooter alignWithMargins="0">
        <oddHeader>&amp;R&amp;G</oddHeader>
        <oddFooter>&amp;L&amp;"DIN-Regular,Standard"&amp;8ESN, pf
&amp;F
&amp;A&amp;C&amp;
&amp;"DIN-Regular,Standard"&amp;8 &amp;D
&amp;T&amp;R&amp;"DIN-Regular,Standard"&amp;8Seite &amp;P von &amp;N</oddFooter>
      </headerFooter>
    </customSheetView>
  </customSheetViews>
  <mergeCells count="15">
    <mergeCell ref="A1:A70"/>
    <mergeCell ref="B14:G14"/>
    <mergeCell ref="H4:H64"/>
    <mergeCell ref="B57:B58"/>
    <mergeCell ref="B1:G1"/>
    <mergeCell ref="B64:E64"/>
    <mergeCell ref="B3:H3"/>
    <mergeCell ref="D4:F4"/>
    <mergeCell ref="C62:F62"/>
    <mergeCell ref="B32:E32"/>
    <mergeCell ref="B41:E41"/>
    <mergeCell ref="B68:E69"/>
    <mergeCell ref="D47:F47"/>
    <mergeCell ref="D58:F58"/>
    <mergeCell ref="D57:F57"/>
  </mergeCells>
  <phoneticPr fontId="4" type="noConversion"/>
  <dataValidations count="3">
    <dataValidation type="list" allowBlank="1" showInputMessage="1" showErrorMessage="1" sqref="C49 C51:C53">
      <formula1>"Ja,Nein"</formula1>
    </dataValidation>
    <dataValidation type="list" showInputMessage="1" showErrorMessage="1" sqref="C47">
      <formula1>"G4,G6,G10,G16,G25,G40,G65,G100,G160,G250,G400,G650,G1000,G1600,G2500"</formula1>
    </dataValidation>
    <dataValidation type="decimal" allowBlank="1" showInputMessage="1" showErrorMessage="1" error="Bitte geben Sie eine Zahl ein" sqref="D6:D7">
      <formula1>0</formula1>
      <formula2>99999999999</formula2>
    </dataValidation>
  </dataValidations>
  <pageMargins left="0.78740157480314965" right="0.31496062992125984" top="1.41" bottom="0.70866141732283472" header="0.31496062992125984" footer="0.31496062992125984"/>
  <pageSetup paperSize="9" scale="64" orientation="portrait" horizontalDpi="300" verticalDpi="300" r:id="rId2"/>
  <headerFooter scaleWithDoc="0">
    <oddHeader>&amp;L
&amp;"DIN-Regular,Standard"&amp;8Ein Unternehmen
der Erdgas Südwest&amp;R&amp;G</oddHeader>
    <oddFooter xml:space="preserve">&amp;L&amp;"DIN-Light,Standard"&amp;6NGS N-Z, pf&amp;C&amp;"DIN-Light,Standard"&amp;6Seite &amp;P von &amp;N
&amp;R&amp;"DIN-Light,Standard"&amp;6&amp;D
</oddFooter>
  </headerFooter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Zähldatenerfassung">
          <x14:formula1>
            <xm:f>Messtechnik!$B$32:$B$35</xm:f>
          </x14:formula1>
          <xm:sqref>C62:F62</xm:sqref>
        </x14:dataValidation>
        <x14:dataValidation type="list" allowBlank="1" showInputMessage="1" showErrorMessage="1">
          <x14:formula1>
            <xm:f>Messtechnik!$B$38:$B$39</xm:f>
          </x14:formula1>
          <xm:sqref>G6</xm:sqref>
        </x14:dataValidation>
        <x14:dataValidation type="list" allowBlank="1" showInputMessage="1" showErrorMessage="1" errorTitle="SLP" error="keine Zählerfernauslesung bei SLP-Verbrauchsstellen möglich_x000a_">
          <x14:formula1>
            <xm:f>Messtechnik!$B$23:$B$26</xm:f>
          </x14:formula1>
          <xm:sqref>C58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FF00"/>
  </sheetPr>
  <dimension ref="A1:J39"/>
  <sheetViews>
    <sheetView workbookViewId="0">
      <selection activeCell="B23" sqref="B23"/>
    </sheetView>
  </sheetViews>
  <sheetFormatPr baseColWidth="10" defaultColWidth="11.42578125" defaultRowHeight="15.75" x14ac:dyDescent="0.25"/>
  <cols>
    <col min="1" max="1" width="4.5703125" style="85" customWidth="1"/>
    <col min="2" max="2" width="47.28515625" style="85" bestFit="1" customWidth="1"/>
    <col min="3" max="3" width="34.28515625" style="85" bestFit="1" customWidth="1"/>
    <col min="4" max="4" width="19.7109375" style="85" bestFit="1" customWidth="1"/>
    <col min="5" max="5" width="11" style="85" customWidth="1"/>
    <col min="6" max="6" width="25.5703125" style="85" bestFit="1" customWidth="1"/>
    <col min="7" max="7" width="16.140625" style="85" customWidth="1"/>
    <col min="8" max="9" width="11.42578125" style="85"/>
    <col min="10" max="10" width="34.85546875" style="85" bestFit="1" customWidth="1"/>
    <col min="11" max="16384" width="11.42578125" style="85"/>
  </cols>
  <sheetData>
    <row r="1" spans="1:9" s="84" customFormat="1" ht="20.25" customHeight="1" x14ac:dyDescent="0.25">
      <c r="A1" s="83" t="s">
        <v>42</v>
      </c>
    </row>
    <row r="2" spans="1:9" s="84" customFormat="1" ht="21" customHeight="1" x14ac:dyDescent="0.25">
      <c r="B2" s="83" t="s">
        <v>43</v>
      </c>
    </row>
    <row r="3" spans="1:9" s="84" customFormat="1" ht="16.5" thickBot="1" x14ac:dyDescent="0.3"/>
    <row r="4" spans="1:9" ht="16.5" thickBot="1" x14ac:dyDescent="0.3">
      <c r="G4" s="294"/>
      <c r="H4" s="326" t="s">
        <v>155</v>
      </c>
      <c r="I4" s="327"/>
    </row>
    <row r="5" spans="1:9" ht="16.5" thickBot="1" x14ac:dyDescent="0.3">
      <c r="B5" s="86" t="s">
        <v>38</v>
      </c>
      <c r="C5" s="87" t="s">
        <v>36</v>
      </c>
      <c r="D5" s="88" t="s">
        <v>37</v>
      </c>
      <c r="E5" s="85" t="s">
        <v>121</v>
      </c>
      <c r="G5" s="295"/>
      <c r="H5" s="298" t="s">
        <v>118</v>
      </c>
      <c r="I5" s="299" t="s">
        <v>119</v>
      </c>
    </row>
    <row r="6" spans="1:9" x14ac:dyDescent="0.25">
      <c r="B6" s="89" t="s">
        <v>21</v>
      </c>
      <c r="C6" s="90">
        <v>39.5</v>
      </c>
      <c r="D6" s="91">
        <v>2.2000000000000002</v>
      </c>
      <c r="E6" s="85">
        <v>1</v>
      </c>
      <c r="G6" s="89" t="s">
        <v>21</v>
      </c>
      <c r="H6" s="296">
        <v>1339.5</v>
      </c>
      <c r="I6" s="97">
        <v>979.5</v>
      </c>
    </row>
    <row r="7" spans="1:9" x14ac:dyDescent="0.25">
      <c r="B7" s="92" t="s">
        <v>22</v>
      </c>
      <c r="C7" s="93">
        <v>39.5</v>
      </c>
      <c r="D7" s="94">
        <v>2.2000000000000002</v>
      </c>
      <c r="E7" s="85">
        <v>0</v>
      </c>
      <c r="G7" s="92" t="s">
        <v>22</v>
      </c>
      <c r="H7" s="296">
        <v>1339.5</v>
      </c>
      <c r="I7" s="97">
        <v>979.5</v>
      </c>
    </row>
    <row r="8" spans="1:9" x14ac:dyDescent="0.25">
      <c r="B8" s="92" t="s">
        <v>23</v>
      </c>
      <c r="C8" s="93">
        <v>67</v>
      </c>
      <c r="D8" s="94">
        <v>2.2000000000000002</v>
      </c>
      <c r="E8" s="85">
        <v>0</v>
      </c>
      <c r="G8" s="92" t="s">
        <v>23</v>
      </c>
      <c r="H8" s="296">
        <v>1367</v>
      </c>
      <c r="I8" s="97">
        <v>1007</v>
      </c>
    </row>
    <row r="9" spans="1:9" x14ac:dyDescent="0.25">
      <c r="B9" s="92" t="s">
        <v>24</v>
      </c>
      <c r="C9" s="93">
        <v>67</v>
      </c>
      <c r="D9" s="94">
        <v>2.2000000000000002</v>
      </c>
      <c r="E9" s="85">
        <v>0</v>
      </c>
      <c r="G9" s="92" t="s">
        <v>24</v>
      </c>
      <c r="H9" s="296">
        <v>1367</v>
      </c>
      <c r="I9" s="97">
        <v>1007</v>
      </c>
    </row>
    <row r="10" spans="1:9" x14ac:dyDescent="0.25">
      <c r="B10" s="92" t="s">
        <v>25</v>
      </c>
      <c r="C10" s="93">
        <v>67</v>
      </c>
      <c r="D10" s="94">
        <v>2.2000000000000002</v>
      </c>
      <c r="E10" s="85">
        <v>0</v>
      </c>
      <c r="G10" s="92" t="s">
        <v>25</v>
      </c>
      <c r="H10" s="296">
        <v>1367</v>
      </c>
      <c r="I10" s="97">
        <v>1007</v>
      </c>
    </row>
    <row r="11" spans="1:9" x14ac:dyDescent="0.25">
      <c r="B11" s="92" t="s">
        <v>26</v>
      </c>
      <c r="C11" s="93">
        <v>99.5</v>
      </c>
      <c r="D11" s="94">
        <v>2.2000000000000002</v>
      </c>
      <c r="E11" s="85">
        <v>0</v>
      </c>
      <c r="G11" s="92" t="s">
        <v>26</v>
      </c>
      <c r="H11" s="296">
        <v>1399.5</v>
      </c>
      <c r="I11" s="97">
        <v>1039.5</v>
      </c>
    </row>
    <row r="12" spans="1:9" x14ac:dyDescent="0.25">
      <c r="B12" s="92" t="s">
        <v>27</v>
      </c>
      <c r="C12" s="93">
        <v>99.5</v>
      </c>
      <c r="D12" s="94">
        <v>2.2000000000000002</v>
      </c>
      <c r="E12" s="85">
        <v>0</v>
      </c>
      <c r="G12" s="92" t="s">
        <v>27</v>
      </c>
      <c r="H12" s="296">
        <v>1399.5</v>
      </c>
      <c r="I12" s="97">
        <v>1039.5</v>
      </c>
    </row>
    <row r="13" spans="1:9" ht="16.5" thickBot="1" x14ac:dyDescent="0.3">
      <c r="B13" s="92" t="s">
        <v>28</v>
      </c>
      <c r="C13" s="95">
        <v>99.5</v>
      </c>
      <c r="D13" s="96">
        <v>2.2000000000000002</v>
      </c>
      <c r="E13" s="85">
        <v>0</v>
      </c>
      <c r="G13" s="92" t="s">
        <v>28</v>
      </c>
      <c r="H13" s="296">
        <v>1399.5</v>
      </c>
      <c r="I13" s="97">
        <v>1039.5</v>
      </c>
    </row>
    <row r="14" spans="1:9" x14ac:dyDescent="0.25">
      <c r="B14" s="89" t="s">
        <v>29</v>
      </c>
      <c r="C14" s="97">
        <v>240</v>
      </c>
      <c r="D14" s="94">
        <v>2.2000000000000002</v>
      </c>
      <c r="E14" s="85">
        <v>0</v>
      </c>
      <c r="G14" s="89" t="s">
        <v>29</v>
      </c>
      <c r="H14" s="296">
        <v>1540</v>
      </c>
      <c r="I14" s="97">
        <v>1180</v>
      </c>
    </row>
    <row r="15" spans="1:9" x14ac:dyDescent="0.25">
      <c r="B15" s="92" t="s">
        <v>30</v>
      </c>
      <c r="C15" s="93">
        <v>240</v>
      </c>
      <c r="D15" s="94">
        <v>2.2000000000000002</v>
      </c>
      <c r="E15" s="85">
        <v>0</v>
      </c>
      <c r="G15" s="92" t="s">
        <v>30</v>
      </c>
      <c r="H15" s="296">
        <v>1540</v>
      </c>
      <c r="I15" s="97">
        <v>1180</v>
      </c>
    </row>
    <row r="16" spans="1:9" x14ac:dyDescent="0.25">
      <c r="B16" s="92" t="s">
        <v>31</v>
      </c>
      <c r="C16" s="93">
        <v>480</v>
      </c>
      <c r="D16" s="94">
        <v>2.2000000000000002</v>
      </c>
      <c r="E16" s="85">
        <v>0</v>
      </c>
      <c r="G16" s="92" t="s">
        <v>31</v>
      </c>
      <c r="H16" s="296">
        <v>1780</v>
      </c>
      <c r="I16" s="97">
        <v>1420</v>
      </c>
    </row>
    <row r="17" spans="2:10" x14ac:dyDescent="0.25">
      <c r="B17" s="92" t="s">
        <v>32</v>
      </c>
      <c r="C17" s="93">
        <v>480</v>
      </c>
      <c r="D17" s="94">
        <v>2.2000000000000002</v>
      </c>
      <c r="E17" s="85">
        <v>0</v>
      </c>
      <c r="G17" s="92" t="s">
        <v>32</v>
      </c>
      <c r="H17" s="296">
        <v>1780</v>
      </c>
      <c r="I17" s="97">
        <v>1420</v>
      </c>
    </row>
    <row r="18" spans="2:10" x14ac:dyDescent="0.25">
      <c r="B18" s="92" t="s">
        <v>33</v>
      </c>
      <c r="C18" s="93">
        <v>590</v>
      </c>
      <c r="D18" s="94">
        <v>2.2000000000000002</v>
      </c>
      <c r="E18" s="85">
        <v>0</v>
      </c>
      <c r="G18" s="92" t="s">
        <v>33</v>
      </c>
      <c r="H18" s="296">
        <v>1890</v>
      </c>
      <c r="I18" s="97">
        <v>1530</v>
      </c>
    </row>
    <row r="19" spans="2:10" x14ac:dyDescent="0.25">
      <c r="B19" s="92" t="s">
        <v>34</v>
      </c>
      <c r="C19" s="93">
        <v>590</v>
      </c>
      <c r="D19" s="94">
        <v>2.2000000000000002</v>
      </c>
      <c r="E19" s="85">
        <v>0</v>
      </c>
      <c r="G19" s="92" t="s">
        <v>34</v>
      </c>
      <c r="H19" s="296">
        <v>1890</v>
      </c>
      <c r="I19" s="97">
        <v>1530</v>
      </c>
    </row>
    <row r="20" spans="2:10" ht="16.5" thickBot="1" x14ac:dyDescent="0.3">
      <c r="B20" s="98" t="s">
        <v>39</v>
      </c>
      <c r="C20" s="93">
        <v>590</v>
      </c>
      <c r="D20" s="94">
        <v>2.2000000000000002</v>
      </c>
      <c r="E20" s="85">
        <v>0</v>
      </c>
      <c r="G20" s="98" t="s">
        <v>39</v>
      </c>
      <c r="H20" s="297">
        <v>1890</v>
      </c>
      <c r="I20" s="109">
        <v>1530</v>
      </c>
    </row>
    <row r="21" spans="2:10" x14ac:dyDescent="0.25">
      <c r="B21" s="99" t="s">
        <v>119</v>
      </c>
      <c r="C21" s="100">
        <v>1300</v>
      </c>
      <c r="D21" s="97"/>
    </row>
    <row r="22" spans="2:10" ht="16.5" thickBot="1" x14ac:dyDescent="0.3">
      <c r="B22" s="101" t="s">
        <v>118</v>
      </c>
      <c r="C22" s="93">
        <v>940</v>
      </c>
      <c r="D22" s="97"/>
    </row>
    <row r="23" spans="2:10" ht="31.5" x14ac:dyDescent="0.25">
      <c r="B23" s="102" t="s">
        <v>157</v>
      </c>
      <c r="C23" s="91"/>
      <c r="D23" s="90">
        <v>256</v>
      </c>
    </row>
    <row r="24" spans="2:10" ht="33" customHeight="1" x14ac:dyDescent="0.25">
      <c r="B24" s="103" t="s">
        <v>116</v>
      </c>
      <c r="C24" s="104"/>
      <c r="D24" s="97">
        <v>441</v>
      </c>
    </row>
    <row r="25" spans="2:10" ht="33" customHeight="1" x14ac:dyDescent="0.25">
      <c r="B25" s="105" t="s">
        <v>131</v>
      </c>
      <c r="C25" s="94"/>
      <c r="D25" s="97">
        <v>256</v>
      </c>
      <c r="J25" s="106" t="s">
        <v>130</v>
      </c>
    </row>
    <row r="26" spans="2:10" ht="33" customHeight="1" thickBot="1" x14ac:dyDescent="0.3">
      <c r="B26" s="107" t="s">
        <v>128</v>
      </c>
      <c r="C26" s="108"/>
      <c r="D26" s="109">
        <v>0</v>
      </c>
      <c r="E26" s="110"/>
      <c r="J26" s="85" t="s">
        <v>116</v>
      </c>
    </row>
    <row r="27" spans="2:10" ht="20.25" customHeight="1" thickBot="1" x14ac:dyDescent="0.3">
      <c r="B27" s="98" t="s">
        <v>120</v>
      </c>
      <c r="C27" s="111">
        <v>30</v>
      </c>
    </row>
    <row r="28" spans="2:10" x14ac:dyDescent="0.25">
      <c r="B28" s="112"/>
      <c r="D28" s="110"/>
    </row>
    <row r="29" spans="2:10" ht="19.5" customHeight="1" x14ac:dyDescent="0.25">
      <c r="B29" s="113" t="s">
        <v>50</v>
      </c>
      <c r="C29" s="114"/>
      <c r="D29" s="115"/>
    </row>
    <row r="31" spans="2:10" ht="14.25" customHeight="1" x14ac:dyDescent="0.25"/>
    <row r="32" spans="2:10" ht="20.25" customHeight="1" x14ac:dyDescent="0.25">
      <c r="B32" s="116" t="s">
        <v>89</v>
      </c>
      <c r="C32" s="117" t="s">
        <v>81</v>
      </c>
      <c r="D32" s="118">
        <v>0</v>
      </c>
    </row>
    <row r="33" spans="2:6" ht="20.25" customHeight="1" x14ac:dyDescent="0.25">
      <c r="B33" s="119" t="s">
        <v>53</v>
      </c>
      <c r="C33" s="120"/>
      <c r="D33" s="121">
        <v>0</v>
      </c>
      <c r="F33" s="122"/>
    </row>
    <row r="34" spans="2:6" ht="20.25" customHeight="1" x14ac:dyDescent="0.25">
      <c r="B34" s="123" t="s">
        <v>129</v>
      </c>
      <c r="C34" s="120"/>
      <c r="D34" s="121">
        <v>240</v>
      </c>
      <c r="E34" s="110">
        <v>20</v>
      </c>
      <c r="F34" s="122" t="s">
        <v>114</v>
      </c>
    </row>
    <row r="35" spans="2:6" ht="20.25" customHeight="1" x14ac:dyDescent="0.25">
      <c r="B35" s="124" t="s">
        <v>88</v>
      </c>
      <c r="C35" s="125"/>
      <c r="D35" s="126">
        <v>360</v>
      </c>
      <c r="E35" s="324">
        <v>30</v>
      </c>
      <c r="F35" s="325" t="s">
        <v>115</v>
      </c>
    </row>
    <row r="36" spans="2:6" x14ac:dyDescent="0.25">
      <c r="B36" s="113"/>
      <c r="C36" s="127" t="s">
        <v>52</v>
      </c>
      <c r="D36" s="115">
        <v>0</v>
      </c>
      <c r="E36" s="324"/>
      <c r="F36" s="325"/>
    </row>
    <row r="38" spans="2:6" x14ac:dyDescent="0.25">
      <c r="B38" s="128" t="s">
        <v>19</v>
      </c>
    </row>
    <row r="39" spans="2:6" x14ac:dyDescent="0.25">
      <c r="B39" s="128" t="s">
        <v>20</v>
      </c>
    </row>
  </sheetData>
  <customSheetViews>
    <customSheetView guid="{2F2906FD-A594-42FF-825D-21A69F4D3CD5}" state="hidden"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mergeCells count="3">
    <mergeCell ref="E35:E36"/>
    <mergeCell ref="F35:F36"/>
    <mergeCell ref="H4:I4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Q78"/>
  <sheetViews>
    <sheetView zoomScale="115" zoomScaleNormal="115" workbookViewId="0">
      <selection activeCell="C43" sqref="C43"/>
    </sheetView>
  </sheetViews>
  <sheetFormatPr baseColWidth="10" defaultColWidth="11.42578125" defaultRowHeight="13.5" x14ac:dyDescent="0.25"/>
  <cols>
    <col min="1" max="1" width="2.140625" style="2" customWidth="1"/>
    <col min="2" max="2" width="11.42578125" style="2" customWidth="1"/>
    <col min="3" max="3" width="15.28515625" style="2" customWidth="1"/>
    <col min="4" max="4" width="16.85546875" style="2" customWidth="1"/>
    <col min="5" max="5" width="17" style="2" customWidth="1"/>
    <col min="6" max="6" width="19.140625" style="2" customWidth="1"/>
    <col min="7" max="7" width="20" style="2" customWidth="1"/>
    <col min="8" max="8" width="2.140625" style="2" customWidth="1"/>
    <col min="9" max="9" width="4.42578125" style="262" bestFit="1" customWidth="1"/>
    <col min="10" max="10" width="6.42578125" style="262" bestFit="1" customWidth="1"/>
    <col min="11" max="11" width="46.42578125" style="263" bestFit="1" customWidth="1"/>
    <col min="12" max="12" width="10.28515625" style="264" bestFit="1" customWidth="1"/>
    <col min="13" max="13" width="14.28515625" style="262" bestFit="1" customWidth="1"/>
    <col min="14" max="15" width="11.42578125" style="262"/>
    <col min="16" max="16384" width="11.42578125" style="2"/>
  </cols>
  <sheetData>
    <row r="1" spans="1:16" ht="28.5" customHeight="1" thickBot="1" x14ac:dyDescent="0.3">
      <c r="A1" s="362" t="s">
        <v>77</v>
      </c>
      <c r="B1" s="363"/>
      <c r="C1" s="363"/>
      <c r="D1" s="363"/>
      <c r="E1" s="363"/>
      <c r="F1" s="364"/>
      <c r="G1" s="132">
        <v>2020</v>
      </c>
    </row>
    <row r="2" spans="1:16" ht="6.75" customHeight="1" x14ac:dyDescent="0.25">
      <c r="A2" s="328"/>
      <c r="B2" s="330"/>
      <c r="C2" s="330"/>
      <c r="D2" s="330"/>
      <c r="E2" s="330"/>
      <c r="F2" s="330"/>
      <c r="G2" s="330"/>
    </row>
    <row r="3" spans="1:16" ht="6.75" customHeight="1" x14ac:dyDescent="0.25">
      <c r="A3" s="329"/>
    </row>
    <row r="4" spans="1:16" s="134" customFormat="1" ht="21.75" customHeight="1" x14ac:dyDescent="0.25">
      <c r="A4" s="329"/>
      <c r="B4" s="133" t="s">
        <v>61</v>
      </c>
      <c r="C4" s="331" t="s">
        <v>62</v>
      </c>
      <c r="D4" s="332"/>
      <c r="E4" s="332"/>
      <c r="F4" s="332"/>
      <c r="G4" s="333"/>
      <c r="I4" s="262"/>
      <c r="K4" s="284" t="s">
        <v>142</v>
      </c>
      <c r="L4" s="284"/>
      <c r="M4" s="284"/>
      <c r="N4" s="284"/>
      <c r="O4" s="284"/>
      <c r="P4" s="284"/>
    </row>
    <row r="5" spans="1:16" s="135" customFormat="1" ht="5.25" customHeight="1" thickBot="1" x14ac:dyDescent="0.3">
      <c r="A5" s="329"/>
      <c r="G5" s="136"/>
      <c r="I5" s="262"/>
      <c r="N5" s="285"/>
      <c r="O5" s="285"/>
      <c r="P5" s="285"/>
    </row>
    <row r="6" spans="1:16" s="135" customFormat="1" ht="45.75" customHeight="1" x14ac:dyDescent="0.25">
      <c r="A6" s="329"/>
      <c r="B6" s="137" t="s">
        <v>44</v>
      </c>
      <c r="C6" s="334" t="s">
        <v>13</v>
      </c>
      <c r="D6" s="334"/>
      <c r="E6" s="138" t="s">
        <v>45</v>
      </c>
      <c r="F6" s="139" t="s">
        <v>54</v>
      </c>
      <c r="G6" s="140" t="s">
        <v>46</v>
      </c>
      <c r="I6" s="262"/>
      <c r="K6" s="285" t="s">
        <v>151</v>
      </c>
      <c r="O6" s="287"/>
      <c r="P6" s="287"/>
    </row>
    <row r="7" spans="1:16" s="135" customFormat="1" ht="18" customHeight="1" x14ac:dyDescent="0.25">
      <c r="A7" s="329"/>
      <c r="B7" s="141"/>
      <c r="C7" s="335" t="s">
        <v>8</v>
      </c>
      <c r="D7" s="335"/>
      <c r="E7" s="142" t="s">
        <v>78</v>
      </c>
      <c r="F7" s="142" t="s">
        <v>79</v>
      </c>
      <c r="G7" s="143" t="s">
        <v>80</v>
      </c>
      <c r="I7" s="262"/>
      <c r="K7" s="135" t="s">
        <v>13</v>
      </c>
      <c r="L7" s="286">
        <v>125000</v>
      </c>
      <c r="M7" s="285" t="s">
        <v>17</v>
      </c>
    </row>
    <row r="8" spans="1:16" s="135" customFormat="1" ht="18" customHeight="1" thickBot="1" x14ac:dyDescent="0.3">
      <c r="A8" s="329"/>
      <c r="B8" s="144" t="s">
        <v>9</v>
      </c>
      <c r="C8" s="145" t="s">
        <v>10</v>
      </c>
      <c r="D8" s="145" t="s">
        <v>11</v>
      </c>
      <c r="E8" s="145" t="s">
        <v>47</v>
      </c>
      <c r="F8" s="145" t="s">
        <v>17</v>
      </c>
      <c r="G8" s="146" t="s">
        <v>15</v>
      </c>
      <c r="I8" s="262"/>
      <c r="N8" s="287"/>
    </row>
    <row r="9" spans="1:16" s="135" customFormat="1" ht="15" customHeight="1" x14ac:dyDescent="0.25">
      <c r="A9" s="329"/>
      <c r="B9" s="147">
        <v>1</v>
      </c>
      <c r="C9" s="148">
        <v>0</v>
      </c>
      <c r="D9" s="148">
        <v>10000</v>
      </c>
      <c r="E9" s="149">
        <v>0</v>
      </c>
      <c r="F9" s="148">
        <v>0</v>
      </c>
      <c r="G9" s="150">
        <v>1.3541000000000001</v>
      </c>
      <c r="I9" s="262"/>
      <c r="K9" s="266" t="str">
        <f>+"Arbeitsentgelt = (125.000 - 100.000) kWh * "&amp;G12&amp;" ct/kWh / 100"</f>
        <v>Arbeitsentgelt = (125.000 - 100.000) kWh * 1,3525 ct/kWh / 100</v>
      </c>
      <c r="L9" s="266"/>
      <c r="M9" s="266" t="s">
        <v>152</v>
      </c>
      <c r="N9" s="288">
        <f>25000/100*G12</f>
        <v>338.125</v>
      </c>
    </row>
    <row r="10" spans="1:16" s="135" customFormat="1" ht="15" customHeight="1" x14ac:dyDescent="0.25">
      <c r="A10" s="329"/>
      <c r="B10" s="151">
        <v>2</v>
      </c>
      <c r="C10" s="152">
        <v>10000</v>
      </c>
      <c r="D10" s="152">
        <v>20000</v>
      </c>
      <c r="E10" s="153">
        <v>135.39999999999998</v>
      </c>
      <c r="F10" s="152">
        <v>10000</v>
      </c>
      <c r="G10" s="154">
        <v>1.3541000000000001</v>
      </c>
      <c r="I10" s="262"/>
      <c r="K10" s="289" t="str">
        <f>+"Vorzonenpreis (ZP i)"</f>
        <v>Vorzonenpreis (ZP i)</v>
      </c>
      <c r="L10" s="289"/>
      <c r="M10" s="289" t="s">
        <v>152</v>
      </c>
      <c r="N10" s="290">
        <f>+E12</f>
        <v>1353.77</v>
      </c>
    </row>
    <row r="11" spans="1:16" s="135" customFormat="1" ht="15" customHeight="1" thickBot="1" x14ac:dyDescent="0.3">
      <c r="A11" s="329"/>
      <c r="B11" s="155">
        <v>3</v>
      </c>
      <c r="C11" s="156">
        <v>20000</v>
      </c>
      <c r="D11" s="156">
        <v>100000</v>
      </c>
      <c r="E11" s="157">
        <v>270.81</v>
      </c>
      <c r="F11" s="156">
        <v>20000</v>
      </c>
      <c r="G11" s="158">
        <v>1.3536999999999999</v>
      </c>
      <c r="I11" s="262"/>
      <c r="K11" s="291" t="s">
        <v>153</v>
      </c>
      <c r="L11" s="291"/>
      <c r="M11" s="291"/>
      <c r="N11" s="292">
        <f>+N10+N9</f>
        <v>1691.895</v>
      </c>
    </row>
    <row r="12" spans="1:16" s="135" customFormat="1" ht="15" customHeight="1" thickTop="1" x14ac:dyDescent="0.25">
      <c r="A12" s="329"/>
      <c r="B12" s="151">
        <v>4</v>
      </c>
      <c r="C12" s="152">
        <v>100000</v>
      </c>
      <c r="D12" s="152">
        <v>250000</v>
      </c>
      <c r="E12" s="153">
        <v>1353.77</v>
      </c>
      <c r="F12" s="152">
        <v>100000</v>
      </c>
      <c r="G12" s="154">
        <v>1.3525</v>
      </c>
      <c r="I12" s="262"/>
      <c r="N12" s="262"/>
      <c r="O12" s="262"/>
    </row>
    <row r="13" spans="1:16" s="135" customFormat="1" ht="15" customHeight="1" x14ac:dyDescent="0.25">
      <c r="A13" s="329"/>
      <c r="B13" s="155">
        <v>5</v>
      </c>
      <c r="C13" s="156">
        <v>250000</v>
      </c>
      <c r="D13" s="156">
        <v>500000</v>
      </c>
      <c r="E13" s="157">
        <v>3382.52</v>
      </c>
      <c r="F13" s="156">
        <v>250000</v>
      </c>
      <c r="G13" s="158">
        <v>1.3487</v>
      </c>
      <c r="I13" s="262"/>
      <c r="N13" s="262"/>
      <c r="O13" s="262"/>
    </row>
    <row r="14" spans="1:16" s="135" customFormat="1" ht="15" customHeight="1" x14ac:dyDescent="0.25">
      <c r="A14" s="329"/>
      <c r="B14" s="151">
        <v>6</v>
      </c>
      <c r="C14" s="152">
        <v>500000</v>
      </c>
      <c r="D14" s="152">
        <v>1000000</v>
      </c>
      <c r="E14" s="153">
        <v>6754.27</v>
      </c>
      <c r="F14" s="152">
        <v>500000</v>
      </c>
      <c r="G14" s="154">
        <v>1.3376999999999999</v>
      </c>
      <c r="I14" s="262"/>
      <c r="N14" s="262"/>
      <c r="O14" s="262"/>
    </row>
    <row r="15" spans="1:16" s="135" customFormat="1" ht="15" customHeight="1" thickBot="1" x14ac:dyDescent="0.3">
      <c r="A15" s="329"/>
      <c r="B15" s="159">
        <v>7</v>
      </c>
      <c r="C15" s="160">
        <v>1000000</v>
      </c>
      <c r="D15" s="160"/>
      <c r="E15" s="161">
        <v>13442.77</v>
      </c>
      <c r="F15" s="160">
        <v>1000000</v>
      </c>
      <c r="G15" s="162">
        <v>1.3172999999999999</v>
      </c>
      <c r="I15" s="262"/>
      <c r="N15" s="262"/>
      <c r="O15" s="262"/>
    </row>
    <row r="16" spans="1:16" ht="5.25" customHeight="1" x14ac:dyDescent="0.25">
      <c r="A16" s="329"/>
      <c r="P16" s="135"/>
    </row>
    <row r="17" spans="1:17" ht="5.25" customHeight="1" x14ac:dyDescent="0.25">
      <c r="A17" s="329"/>
    </row>
    <row r="18" spans="1:17" ht="21.75" customHeight="1" x14ac:dyDescent="0.25">
      <c r="A18" s="329"/>
      <c r="B18" s="133" t="s">
        <v>68</v>
      </c>
      <c r="C18" s="331" t="s">
        <v>63</v>
      </c>
      <c r="D18" s="332"/>
      <c r="E18" s="332"/>
      <c r="F18" s="332"/>
      <c r="G18" s="333"/>
      <c r="K18" s="263" t="s">
        <v>142</v>
      </c>
    </row>
    <row r="19" spans="1:17" ht="6.75" customHeight="1" thickBot="1" x14ac:dyDescent="0.3">
      <c r="A19" s="329"/>
    </row>
    <row r="20" spans="1:17" s="135" customFormat="1" ht="45.75" customHeight="1" x14ac:dyDescent="0.25">
      <c r="A20" s="329"/>
      <c r="B20" s="137" t="s">
        <v>44</v>
      </c>
      <c r="C20" s="334" t="s">
        <v>13</v>
      </c>
      <c r="D20" s="334"/>
      <c r="E20" s="138" t="s">
        <v>45</v>
      </c>
      <c r="F20" s="139" t="s">
        <v>54</v>
      </c>
      <c r="G20" s="140" t="s">
        <v>46</v>
      </c>
      <c r="I20" s="262"/>
      <c r="J20" s="262"/>
      <c r="M20" s="262"/>
      <c r="N20" s="262"/>
      <c r="O20" s="262"/>
      <c r="P20" s="2"/>
    </row>
    <row r="21" spans="1:17" s="135" customFormat="1" ht="18" customHeight="1" x14ac:dyDescent="0.25">
      <c r="A21" s="329"/>
      <c r="B21" s="141"/>
      <c r="C21" s="335" t="s">
        <v>8</v>
      </c>
      <c r="D21" s="335"/>
      <c r="E21" s="142" t="s">
        <v>78</v>
      </c>
      <c r="F21" s="142" t="s">
        <v>79</v>
      </c>
      <c r="G21" s="143" t="s">
        <v>80</v>
      </c>
      <c r="I21" s="262"/>
      <c r="J21" s="262"/>
      <c r="K21" s="263" t="s">
        <v>13</v>
      </c>
      <c r="L21" s="265">
        <v>2500000</v>
      </c>
      <c r="M21" s="263" t="s">
        <v>143</v>
      </c>
      <c r="N21" s="262"/>
      <c r="O21" s="262"/>
    </row>
    <row r="22" spans="1:17" s="135" customFormat="1" ht="18" customHeight="1" thickBot="1" x14ac:dyDescent="0.3">
      <c r="A22" s="329"/>
      <c r="B22" s="144" t="s">
        <v>9</v>
      </c>
      <c r="C22" s="145" t="s">
        <v>10</v>
      </c>
      <c r="D22" s="145" t="s">
        <v>11</v>
      </c>
      <c r="E22" s="145" t="s">
        <v>47</v>
      </c>
      <c r="F22" s="145" t="s">
        <v>17</v>
      </c>
      <c r="G22" s="146" t="s">
        <v>15</v>
      </c>
      <c r="I22" s="262"/>
      <c r="K22" s="135" t="s">
        <v>154</v>
      </c>
      <c r="L22" s="265">
        <v>1100</v>
      </c>
      <c r="M22" s="263" t="s">
        <v>16</v>
      </c>
      <c r="N22" s="262"/>
      <c r="O22" s="262"/>
    </row>
    <row r="23" spans="1:17" ht="15" customHeight="1" x14ac:dyDescent="0.25">
      <c r="A23" s="329"/>
      <c r="B23" s="147">
        <v>1</v>
      </c>
      <c r="C23" s="163">
        <v>0</v>
      </c>
      <c r="D23" s="163">
        <v>1750000</v>
      </c>
      <c r="E23" s="149">
        <v>0</v>
      </c>
      <c r="F23" s="163">
        <v>0</v>
      </c>
      <c r="G23" s="150">
        <v>0.32369999999999999</v>
      </c>
      <c r="P23" s="135"/>
    </row>
    <row r="24" spans="1:17" ht="15" customHeight="1" x14ac:dyDescent="0.25">
      <c r="A24" s="329"/>
      <c r="B24" s="151">
        <v>2</v>
      </c>
      <c r="C24" s="164">
        <v>1750000</v>
      </c>
      <c r="D24" s="164">
        <v>2000000</v>
      </c>
      <c r="E24" s="153">
        <v>5664.75</v>
      </c>
      <c r="F24" s="164">
        <v>1750000</v>
      </c>
      <c r="G24" s="154">
        <v>0.31759999999999999</v>
      </c>
      <c r="J24" s="266" t="s">
        <v>144</v>
      </c>
      <c r="K24" s="267" t="s">
        <v>145</v>
      </c>
      <c r="L24" s="267"/>
      <c r="M24" s="267"/>
    </row>
    <row r="25" spans="1:17" ht="15" customHeight="1" x14ac:dyDescent="0.25">
      <c r="A25" s="329"/>
      <c r="B25" s="155">
        <v>3</v>
      </c>
      <c r="C25" s="165">
        <v>2000000</v>
      </c>
      <c r="D25" s="165">
        <v>3000000</v>
      </c>
      <c r="E25" s="157">
        <v>6458.75</v>
      </c>
      <c r="F25" s="165">
        <v>2000000</v>
      </c>
      <c r="G25" s="158">
        <v>0.31219999999999998</v>
      </c>
      <c r="J25" s="266" t="s">
        <v>144</v>
      </c>
      <c r="K25" s="267" t="str">
        <f>TEXT(E25,"#.###,00")&amp;" € + 500.000 kWh * "&amp;G25&amp;" ct/kWh / 100"</f>
        <v>6.458,75 € + 500.000 kWh * 0,3122 ct/kWh / 100</v>
      </c>
      <c r="L25" s="268"/>
      <c r="M25" s="266"/>
    </row>
    <row r="26" spans="1:17" ht="15" customHeight="1" x14ac:dyDescent="0.25">
      <c r="A26" s="329"/>
      <c r="B26" s="151">
        <v>4</v>
      </c>
      <c r="C26" s="164">
        <v>3000000</v>
      </c>
      <c r="D26" s="164">
        <v>5000000</v>
      </c>
      <c r="E26" s="153">
        <v>9580.75</v>
      </c>
      <c r="F26" s="164">
        <v>3000000</v>
      </c>
      <c r="G26" s="154">
        <v>0.2969</v>
      </c>
      <c r="J26" s="266" t="s">
        <v>144</v>
      </c>
      <c r="K26" s="269">
        <f>+E25</f>
        <v>6458.75</v>
      </c>
      <c r="L26" s="270" t="s">
        <v>146</v>
      </c>
      <c r="M26" s="271" t="str">
        <f>TEXT(500000/100*G25, "#.###,00 €")</f>
        <v>1.561,00 €</v>
      </c>
      <c r="Q26" s="293"/>
    </row>
    <row r="27" spans="1:17" ht="15" customHeight="1" thickBot="1" x14ac:dyDescent="0.3">
      <c r="A27" s="329"/>
      <c r="B27" s="155">
        <v>5</v>
      </c>
      <c r="C27" s="165">
        <v>5000000</v>
      </c>
      <c r="D27" s="165">
        <v>7500000</v>
      </c>
      <c r="E27" s="157">
        <v>15518.75</v>
      </c>
      <c r="F27" s="165">
        <v>5000000</v>
      </c>
      <c r="G27" s="158">
        <v>0.2707</v>
      </c>
      <c r="J27" s="272" t="s">
        <v>144</v>
      </c>
      <c r="K27" s="273">
        <f>+E25+500000*G25/100</f>
        <v>8019.75</v>
      </c>
      <c r="L27" s="273"/>
      <c r="M27" s="273"/>
    </row>
    <row r="28" spans="1:17" ht="15" customHeight="1" thickTop="1" x14ac:dyDescent="0.25">
      <c r="A28" s="329"/>
      <c r="B28" s="151">
        <v>6</v>
      </c>
      <c r="C28" s="164">
        <v>7500000</v>
      </c>
      <c r="D28" s="164">
        <v>10000000</v>
      </c>
      <c r="E28" s="153">
        <v>22286.25</v>
      </c>
      <c r="F28" s="164">
        <v>7500000</v>
      </c>
      <c r="G28" s="154">
        <v>0.24060000000000001</v>
      </c>
    </row>
    <row r="29" spans="1:17" ht="15" customHeight="1" x14ac:dyDescent="0.25">
      <c r="A29" s="329"/>
      <c r="B29" s="155">
        <v>7</v>
      </c>
      <c r="C29" s="165">
        <v>10000000</v>
      </c>
      <c r="D29" s="165">
        <v>25000000</v>
      </c>
      <c r="E29" s="157">
        <v>28301.25</v>
      </c>
      <c r="F29" s="165">
        <v>10000000</v>
      </c>
      <c r="G29" s="158">
        <v>0.16170000000000001</v>
      </c>
    </row>
    <row r="30" spans="1:17" ht="15" customHeight="1" thickBot="1" x14ac:dyDescent="0.3">
      <c r="A30" s="329"/>
      <c r="B30" s="166">
        <v>8</v>
      </c>
      <c r="C30" s="167">
        <v>25000000</v>
      </c>
      <c r="D30" s="167"/>
      <c r="E30" s="168">
        <v>52556.25</v>
      </c>
      <c r="F30" s="167">
        <v>25000000</v>
      </c>
      <c r="G30" s="169">
        <v>8.8499999999999995E-2</v>
      </c>
    </row>
    <row r="31" spans="1:17" x14ac:dyDescent="0.25">
      <c r="A31" s="329"/>
    </row>
    <row r="32" spans="1:17" ht="21.75" customHeight="1" x14ac:dyDescent="0.25">
      <c r="A32" s="329"/>
      <c r="B32" s="133" t="s">
        <v>67</v>
      </c>
      <c r="C32" s="331" t="s">
        <v>64</v>
      </c>
      <c r="D32" s="332"/>
      <c r="E32" s="332"/>
      <c r="F32" s="332"/>
      <c r="G32" s="333"/>
    </row>
    <row r="33" spans="1:13" ht="7.5" customHeight="1" thickBot="1" x14ac:dyDescent="0.3">
      <c r="A33" s="329"/>
      <c r="B33" s="170"/>
    </row>
    <row r="34" spans="1:13" ht="45.75" customHeight="1" x14ac:dyDescent="0.25">
      <c r="A34" s="329"/>
      <c r="B34" s="137" t="s">
        <v>44</v>
      </c>
      <c r="C34" s="334" t="s">
        <v>6</v>
      </c>
      <c r="D34" s="334"/>
      <c r="E34" s="138" t="s">
        <v>45</v>
      </c>
      <c r="F34" s="139" t="s">
        <v>55</v>
      </c>
      <c r="G34" s="140" t="s">
        <v>7</v>
      </c>
    </row>
    <row r="35" spans="1:13" x14ac:dyDescent="0.25">
      <c r="A35" s="329"/>
      <c r="B35" s="141"/>
      <c r="C35" s="335" t="s">
        <v>8</v>
      </c>
      <c r="D35" s="335"/>
      <c r="E35" s="142" t="s">
        <v>136</v>
      </c>
      <c r="F35" s="142" t="s">
        <v>137</v>
      </c>
      <c r="G35" s="143" t="s">
        <v>138</v>
      </c>
    </row>
    <row r="36" spans="1:13" ht="14.25" thickBot="1" x14ac:dyDescent="0.3">
      <c r="A36" s="329"/>
      <c r="B36" s="144" t="s">
        <v>9</v>
      </c>
      <c r="C36" s="145" t="s">
        <v>56</v>
      </c>
      <c r="D36" s="145" t="s">
        <v>57</v>
      </c>
      <c r="E36" s="145" t="s">
        <v>47</v>
      </c>
      <c r="F36" s="145" t="s">
        <v>48</v>
      </c>
      <c r="G36" s="146" t="s">
        <v>12</v>
      </c>
    </row>
    <row r="37" spans="1:13" ht="15" customHeight="1" x14ac:dyDescent="0.25">
      <c r="A37" s="329"/>
      <c r="B37" s="171">
        <v>1</v>
      </c>
      <c r="C37" s="172">
        <v>0</v>
      </c>
      <c r="D37" s="172">
        <v>750</v>
      </c>
      <c r="E37" s="173">
        <v>0</v>
      </c>
      <c r="F37" s="172">
        <v>0</v>
      </c>
      <c r="G37" s="174">
        <v>20.2486</v>
      </c>
      <c r="J37" s="266" t="s">
        <v>147</v>
      </c>
      <c r="K37" s="267" t="s">
        <v>148</v>
      </c>
      <c r="L37" s="268"/>
      <c r="M37" s="266"/>
    </row>
    <row r="38" spans="1:13" ht="15" customHeight="1" x14ac:dyDescent="0.25">
      <c r="A38" s="329"/>
      <c r="B38" s="175">
        <v>2</v>
      </c>
      <c r="C38" s="176">
        <v>750</v>
      </c>
      <c r="D38" s="176">
        <v>1500</v>
      </c>
      <c r="E38" s="177">
        <v>15186.45</v>
      </c>
      <c r="F38" s="176">
        <v>750</v>
      </c>
      <c r="G38" s="178">
        <v>18.980899999999998</v>
      </c>
      <c r="J38" s="266" t="s">
        <v>147</v>
      </c>
      <c r="K38" s="267" t="str">
        <f>+TEXT(E38,"#.###,00")&amp;" € + 350 kW * "&amp;G38 &amp;" (€/kW)"</f>
        <v>15.186,45 € + 350 kW * 18,9809 (€/kW)</v>
      </c>
      <c r="L38" s="268"/>
      <c r="M38" s="266"/>
    </row>
    <row r="39" spans="1:13" ht="15" customHeight="1" x14ac:dyDescent="0.25">
      <c r="A39" s="329"/>
      <c r="B39" s="179">
        <v>3</v>
      </c>
      <c r="C39" s="180">
        <v>1500</v>
      </c>
      <c r="D39" s="180">
        <v>3000</v>
      </c>
      <c r="E39" s="181">
        <v>29422.13</v>
      </c>
      <c r="F39" s="180">
        <v>1500</v>
      </c>
      <c r="G39" s="182">
        <v>16.420400000000001</v>
      </c>
      <c r="J39" s="266" t="s">
        <v>147</v>
      </c>
      <c r="K39" s="274">
        <f>+E38</f>
        <v>15186.45</v>
      </c>
      <c r="L39" s="270" t="s">
        <v>146</v>
      </c>
      <c r="M39" s="275">
        <f>350*G38</f>
        <v>6643.3149999999996</v>
      </c>
    </row>
    <row r="40" spans="1:13" ht="15" customHeight="1" thickBot="1" x14ac:dyDescent="0.3">
      <c r="A40" s="329"/>
      <c r="B40" s="175">
        <v>4</v>
      </c>
      <c r="C40" s="176">
        <v>3000</v>
      </c>
      <c r="D40" s="176">
        <v>5000</v>
      </c>
      <c r="E40" s="177">
        <v>54052.73</v>
      </c>
      <c r="F40" s="176">
        <v>3000</v>
      </c>
      <c r="G40" s="178">
        <v>12.906500000000001</v>
      </c>
      <c r="J40" s="276" t="s">
        <v>147</v>
      </c>
      <c r="K40" s="277">
        <f>+K39+M39</f>
        <v>21829.764999999999</v>
      </c>
      <c r="L40" s="278"/>
      <c r="M40" s="279"/>
    </row>
    <row r="41" spans="1:13" ht="15" customHeight="1" thickTop="1" x14ac:dyDescent="0.25">
      <c r="A41" s="329"/>
      <c r="B41" s="179">
        <v>5</v>
      </c>
      <c r="C41" s="180">
        <v>5000</v>
      </c>
      <c r="D41" s="180">
        <v>7500</v>
      </c>
      <c r="E41" s="181">
        <v>79865.73000000001</v>
      </c>
      <c r="F41" s="180">
        <v>5000</v>
      </c>
      <c r="G41" s="182">
        <v>10.196899999999999</v>
      </c>
    </row>
    <row r="42" spans="1:13" ht="15" customHeight="1" x14ac:dyDescent="0.25">
      <c r="A42" s="329"/>
      <c r="B42" s="175">
        <v>6</v>
      </c>
      <c r="C42" s="176">
        <v>7500</v>
      </c>
      <c r="D42" s="176">
        <v>10000</v>
      </c>
      <c r="E42" s="177">
        <v>105357.98</v>
      </c>
      <c r="F42" s="176">
        <v>7500</v>
      </c>
      <c r="G42" s="178">
        <v>8.8476999999999997</v>
      </c>
    </row>
    <row r="43" spans="1:13" ht="15" customHeight="1" x14ac:dyDescent="0.25">
      <c r="A43" s="329"/>
      <c r="B43" s="179">
        <v>7</v>
      </c>
      <c r="C43" s="180">
        <v>10000</v>
      </c>
      <c r="D43" s="180">
        <v>25000</v>
      </c>
      <c r="E43" s="181">
        <v>127477.23</v>
      </c>
      <c r="F43" s="180">
        <v>10000</v>
      </c>
      <c r="G43" s="182">
        <v>8.2681000000000004</v>
      </c>
    </row>
    <row r="44" spans="1:13" ht="15" customHeight="1" x14ac:dyDescent="0.25">
      <c r="A44" s="329"/>
      <c r="B44" s="175">
        <v>8</v>
      </c>
      <c r="C44" s="176">
        <v>25000</v>
      </c>
      <c r="D44" s="176">
        <v>50000</v>
      </c>
      <c r="E44" s="177">
        <v>251498.73</v>
      </c>
      <c r="F44" s="176">
        <v>25000</v>
      </c>
      <c r="G44" s="178">
        <v>8.5693000000000001</v>
      </c>
      <c r="J44" s="266" t="s">
        <v>149</v>
      </c>
      <c r="K44" s="267" t="s">
        <v>150</v>
      </c>
      <c r="L44" s="268"/>
      <c r="M44" s="266"/>
    </row>
    <row r="45" spans="1:13" ht="15" customHeight="1" x14ac:dyDescent="0.25">
      <c r="A45" s="329"/>
      <c r="B45" s="179">
        <v>9</v>
      </c>
      <c r="C45" s="180">
        <v>50000</v>
      </c>
      <c r="D45" s="180">
        <v>75000</v>
      </c>
      <c r="E45" s="181">
        <v>465731.23</v>
      </c>
      <c r="F45" s="180">
        <v>50000</v>
      </c>
      <c r="G45" s="182">
        <v>8.7593999999999994</v>
      </c>
      <c r="J45" s="266" t="s">
        <v>149</v>
      </c>
      <c r="K45" s="274">
        <f>+K27</f>
        <v>8019.75</v>
      </c>
      <c r="L45" s="270" t="s">
        <v>146</v>
      </c>
      <c r="M45" s="275">
        <f>+K40</f>
        <v>21829.764999999999</v>
      </c>
    </row>
    <row r="46" spans="1:13" ht="15" customHeight="1" thickBot="1" x14ac:dyDescent="0.3">
      <c r="A46" s="329"/>
      <c r="B46" s="183">
        <v>10</v>
      </c>
      <c r="C46" s="184">
        <v>75000</v>
      </c>
      <c r="D46" s="184">
        <v>500000</v>
      </c>
      <c r="E46" s="185">
        <v>684716.23</v>
      </c>
      <c r="F46" s="184">
        <v>75000</v>
      </c>
      <c r="G46" s="186">
        <v>8.9035999999999991</v>
      </c>
      <c r="J46" s="276" t="s">
        <v>149</v>
      </c>
      <c r="K46" s="277">
        <f>+K45+M45</f>
        <v>29849.514999999999</v>
      </c>
      <c r="L46" s="278"/>
      <c r="M46" s="279"/>
    </row>
    <row r="50" spans="9:10" x14ac:dyDescent="0.25">
      <c r="I50" s="280"/>
    </row>
    <row r="51" spans="9:10" x14ac:dyDescent="0.25">
      <c r="I51" s="280"/>
    </row>
    <row r="52" spans="9:10" x14ac:dyDescent="0.25">
      <c r="I52" s="280"/>
    </row>
    <row r="53" spans="9:10" x14ac:dyDescent="0.25">
      <c r="I53" s="280"/>
    </row>
    <row r="54" spans="9:10" x14ac:dyDescent="0.25">
      <c r="I54" s="280"/>
    </row>
    <row r="55" spans="9:10" x14ac:dyDescent="0.25">
      <c r="I55" s="280"/>
    </row>
    <row r="56" spans="9:10" x14ac:dyDescent="0.25">
      <c r="I56" s="280"/>
    </row>
    <row r="57" spans="9:10" x14ac:dyDescent="0.25">
      <c r="I57" s="280"/>
    </row>
    <row r="58" spans="9:10" x14ac:dyDescent="0.25">
      <c r="I58" s="280"/>
    </row>
    <row r="59" spans="9:10" x14ac:dyDescent="0.25">
      <c r="I59" s="280"/>
    </row>
    <row r="60" spans="9:10" x14ac:dyDescent="0.25">
      <c r="I60" s="280"/>
    </row>
    <row r="61" spans="9:10" x14ac:dyDescent="0.25">
      <c r="I61" s="280"/>
    </row>
    <row r="62" spans="9:10" x14ac:dyDescent="0.25">
      <c r="I62" s="280"/>
    </row>
    <row r="63" spans="9:10" x14ac:dyDescent="0.25">
      <c r="I63" s="280"/>
    </row>
    <row r="64" spans="9:10" x14ac:dyDescent="0.25">
      <c r="I64" s="280"/>
      <c r="J64" s="283"/>
    </row>
    <row r="65" spans="9:10" x14ac:dyDescent="0.25">
      <c r="I65" s="280"/>
      <c r="J65" s="283"/>
    </row>
    <row r="66" spans="9:10" x14ac:dyDescent="0.25">
      <c r="I66" s="280"/>
      <c r="J66" s="283"/>
    </row>
    <row r="67" spans="9:10" x14ac:dyDescent="0.25">
      <c r="I67" s="280"/>
      <c r="J67" s="282"/>
    </row>
    <row r="68" spans="9:10" x14ac:dyDescent="0.25">
      <c r="I68" s="281"/>
      <c r="J68" s="282"/>
    </row>
    <row r="69" spans="9:10" x14ac:dyDescent="0.25">
      <c r="I69" s="281"/>
      <c r="J69" s="282"/>
    </row>
    <row r="70" spans="9:10" x14ac:dyDescent="0.25">
      <c r="I70" s="281"/>
      <c r="J70" s="282"/>
    </row>
    <row r="71" spans="9:10" x14ac:dyDescent="0.25">
      <c r="I71" s="281"/>
      <c r="J71" s="282"/>
    </row>
    <row r="72" spans="9:10" x14ac:dyDescent="0.25">
      <c r="I72" s="281"/>
      <c r="J72" s="282"/>
    </row>
    <row r="73" spans="9:10" x14ac:dyDescent="0.25">
      <c r="I73" s="281"/>
      <c r="J73" s="282"/>
    </row>
    <row r="74" spans="9:10" x14ac:dyDescent="0.25">
      <c r="I74" s="281"/>
      <c r="J74" s="282"/>
    </row>
    <row r="75" spans="9:10" x14ac:dyDescent="0.25">
      <c r="I75" s="281"/>
      <c r="J75" s="282"/>
    </row>
    <row r="76" spans="9:10" x14ac:dyDescent="0.25">
      <c r="I76" s="281"/>
      <c r="J76" s="282"/>
    </row>
    <row r="77" spans="9:10" x14ac:dyDescent="0.25">
      <c r="I77" s="281"/>
    </row>
    <row r="78" spans="9:10" x14ac:dyDescent="0.25">
      <c r="I78" s="280"/>
    </row>
  </sheetData>
  <customSheetViews>
    <customSheetView guid="{2F2906FD-A594-42FF-825D-21A69F4D3CD5}" state="hidden">
      <pageMargins left="0.7" right="0.7" top="0.78740157499999996" bottom="0.78740157499999996" header="0.3" footer="0.3"/>
    </customSheetView>
  </customSheetViews>
  <mergeCells count="12">
    <mergeCell ref="A1:F1"/>
    <mergeCell ref="A2:A46"/>
    <mergeCell ref="B2:G2"/>
    <mergeCell ref="C32:G32"/>
    <mergeCell ref="C34:D34"/>
    <mergeCell ref="C35:D35"/>
    <mergeCell ref="C4:G4"/>
    <mergeCell ref="C18:G18"/>
    <mergeCell ref="C20:D20"/>
    <mergeCell ref="C21:D21"/>
    <mergeCell ref="C6:D6"/>
    <mergeCell ref="C7:D7"/>
  </mergeCells>
  <pageMargins left="0.8" right="0.3" top="0.7" bottom="0.7" header="0.3" footer="0.3"/>
  <pageSetup paperSize="9" scale="95" orientation="portrait" verticalDpi="598" r:id="rId1"/>
  <headerFooter>
    <oddHeader>&amp;R&amp;G</oddHeader>
    <oddFooter xml:space="preserve">&amp;L&amp;"DIN-light,Standard"&amp;7NGS-N_Z, pf
&amp;Z&amp;F&amp;C&amp;"DIN-light,Standard"&amp;7Seite &amp;P von &amp;N
&amp;R&amp;"DIN-light,Standard"&amp;7&amp;D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5"/>
    <pageSetUpPr fitToPage="1"/>
  </sheetPr>
  <dimension ref="A1:G46"/>
  <sheetViews>
    <sheetView workbookViewId="0">
      <selection activeCell="F53" sqref="F53"/>
    </sheetView>
  </sheetViews>
  <sheetFormatPr baseColWidth="10" defaultColWidth="11.42578125" defaultRowHeight="13.5" x14ac:dyDescent="0.25"/>
  <cols>
    <col min="1" max="1" width="2.140625" style="2" customWidth="1"/>
    <col min="2" max="2" width="11.42578125" style="2" customWidth="1"/>
    <col min="3" max="3" width="15.28515625" style="2" customWidth="1"/>
    <col min="4" max="4" width="16.85546875" style="2" customWidth="1"/>
    <col min="5" max="5" width="17" style="2" customWidth="1"/>
    <col min="6" max="6" width="19.140625" style="2" customWidth="1"/>
    <col min="7" max="7" width="20" style="2" customWidth="1"/>
    <col min="8" max="8" width="2.140625" style="2" customWidth="1"/>
    <col min="9" max="16384" width="11.42578125" style="2"/>
  </cols>
  <sheetData>
    <row r="1" spans="1:7" ht="28.5" customHeight="1" thickBot="1" x14ac:dyDescent="0.3">
      <c r="A1" s="129" t="s">
        <v>77</v>
      </c>
      <c r="B1" s="130"/>
      <c r="C1" s="130"/>
      <c r="D1" s="130"/>
      <c r="E1" s="130"/>
      <c r="F1" s="131"/>
      <c r="G1" s="132">
        <v>2019</v>
      </c>
    </row>
    <row r="2" spans="1:7" ht="6.75" customHeight="1" x14ac:dyDescent="0.25">
      <c r="A2" s="328"/>
      <c r="B2" s="330"/>
      <c r="C2" s="330"/>
      <c r="D2" s="330"/>
      <c r="E2" s="330"/>
      <c r="F2" s="330"/>
      <c r="G2" s="330"/>
    </row>
    <row r="3" spans="1:7" ht="6.75" customHeight="1" x14ac:dyDescent="0.25">
      <c r="A3" s="329"/>
    </row>
    <row r="4" spans="1:7" s="134" customFormat="1" ht="21.75" customHeight="1" x14ac:dyDescent="0.25">
      <c r="A4" s="329"/>
      <c r="B4" s="133" t="s">
        <v>61</v>
      </c>
      <c r="C4" s="331" t="s">
        <v>62</v>
      </c>
      <c r="D4" s="332"/>
      <c r="E4" s="332"/>
      <c r="F4" s="332"/>
      <c r="G4" s="333"/>
    </row>
    <row r="5" spans="1:7" s="135" customFormat="1" ht="5.25" customHeight="1" thickBot="1" x14ac:dyDescent="0.3">
      <c r="A5" s="329"/>
      <c r="G5" s="136"/>
    </row>
    <row r="6" spans="1:7" s="135" customFormat="1" ht="45.75" customHeight="1" x14ac:dyDescent="0.25">
      <c r="A6" s="329"/>
      <c r="B6" s="137" t="s">
        <v>44</v>
      </c>
      <c r="C6" s="334" t="s">
        <v>13</v>
      </c>
      <c r="D6" s="334"/>
      <c r="E6" s="138" t="s">
        <v>45</v>
      </c>
      <c r="F6" s="139" t="s">
        <v>54</v>
      </c>
      <c r="G6" s="140" t="s">
        <v>46</v>
      </c>
    </row>
    <row r="7" spans="1:7" s="135" customFormat="1" ht="18" customHeight="1" x14ac:dyDescent="0.25">
      <c r="A7" s="329"/>
      <c r="B7" s="141"/>
      <c r="C7" s="335" t="s">
        <v>8</v>
      </c>
      <c r="D7" s="335"/>
      <c r="E7" s="142" t="s">
        <v>78</v>
      </c>
      <c r="F7" s="142" t="s">
        <v>79</v>
      </c>
      <c r="G7" s="143" t="s">
        <v>80</v>
      </c>
    </row>
    <row r="8" spans="1:7" s="135" customFormat="1" ht="18" customHeight="1" thickBot="1" x14ac:dyDescent="0.3">
      <c r="A8" s="329"/>
      <c r="B8" s="144" t="s">
        <v>9</v>
      </c>
      <c r="C8" s="145" t="s">
        <v>10</v>
      </c>
      <c r="D8" s="145" t="s">
        <v>11</v>
      </c>
      <c r="E8" s="145" t="s">
        <v>47</v>
      </c>
      <c r="F8" s="145" t="s">
        <v>17</v>
      </c>
      <c r="G8" s="146" t="s">
        <v>15</v>
      </c>
    </row>
    <row r="9" spans="1:7" s="135" customFormat="1" ht="15" customHeight="1" x14ac:dyDescent="0.25">
      <c r="A9" s="329"/>
      <c r="B9" s="147">
        <v>1</v>
      </c>
      <c r="C9" s="148">
        <v>0</v>
      </c>
      <c r="D9" s="148">
        <v>10000</v>
      </c>
      <c r="E9" s="149">
        <v>0</v>
      </c>
      <c r="F9" s="148">
        <v>0</v>
      </c>
      <c r="G9" s="150">
        <v>1.3664000000000001</v>
      </c>
    </row>
    <row r="10" spans="1:7" s="135" customFormat="1" ht="15" customHeight="1" x14ac:dyDescent="0.25">
      <c r="A10" s="329"/>
      <c r="B10" s="151">
        <v>2</v>
      </c>
      <c r="C10" s="152">
        <v>10000</v>
      </c>
      <c r="D10" s="152">
        <v>20000</v>
      </c>
      <c r="E10" s="153">
        <v>136.63999999999999</v>
      </c>
      <c r="F10" s="152">
        <v>10000</v>
      </c>
      <c r="G10" s="154">
        <v>1.3663000000000001</v>
      </c>
    </row>
    <row r="11" spans="1:7" s="135" customFormat="1" ht="15" customHeight="1" x14ac:dyDescent="0.25">
      <c r="A11" s="329"/>
      <c r="B11" s="155">
        <v>3</v>
      </c>
      <c r="C11" s="156">
        <v>20000</v>
      </c>
      <c r="D11" s="156">
        <v>100000</v>
      </c>
      <c r="E11" s="157">
        <v>273.27</v>
      </c>
      <c r="F11" s="156">
        <v>20000</v>
      </c>
      <c r="G11" s="158">
        <v>1.3657999999999999</v>
      </c>
    </row>
    <row r="12" spans="1:7" s="135" customFormat="1" ht="15" customHeight="1" x14ac:dyDescent="0.25">
      <c r="A12" s="329"/>
      <c r="B12" s="151">
        <v>4</v>
      </c>
      <c r="C12" s="152">
        <v>100000</v>
      </c>
      <c r="D12" s="152">
        <v>250000</v>
      </c>
      <c r="E12" s="153">
        <v>1365.91</v>
      </c>
      <c r="F12" s="152">
        <v>100000</v>
      </c>
      <c r="G12" s="154">
        <v>1.3638999999999999</v>
      </c>
    </row>
    <row r="13" spans="1:7" s="135" customFormat="1" ht="15" customHeight="1" x14ac:dyDescent="0.25">
      <c r="A13" s="329"/>
      <c r="B13" s="155">
        <v>5</v>
      </c>
      <c r="C13" s="156">
        <v>250000</v>
      </c>
      <c r="D13" s="156">
        <v>500000</v>
      </c>
      <c r="E13" s="157">
        <v>3411.76</v>
      </c>
      <c r="F13" s="156">
        <v>250000</v>
      </c>
      <c r="G13" s="158">
        <v>1.359</v>
      </c>
    </row>
    <row r="14" spans="1:7" s="135" customFormat="1" ht="15" customHeight="1" x14ac:dyDescent="0.25">
      <c r="A14" s="329"/>
      <c r="B14" s="151">
        <v>6</v>
      </c>
      <c r="C14" s="152">
        <v>500000</v>
      </c>
      <c r="D14" s="152">
        <v>1000000</v>
      </c>
      <c r="E14" s="153">
        <v>6809.26</v>
      </c>
      <c r="F14" s="152">
        <v>500000</v>
      </c>
      <c r="G14" s="154">
        <v>1.3461000000000001</v>
      </c>
    </row>
    <row r="15" spans="1:7" s="135" customFormat="1" ht="15" customHeight="1" thickBot="1" x14ac:dyDescent="0.3">
      <c r="A15" s="329"/>
      <c r="B15" s="159">
        <v>7</v>
      </c>
      <c r="C15" s="160">
        <v>1000000</v>
      </c>
      <c r="D15" s="160"/>
      <c r="E15" s="161">
        <v>13539.76</v>
      </c>
      <c r="F15" s="160">
        <v>1000000</v>
      </c>
      <c r="G15" s="162">
        <v>1.3247</v>
      </c>
    </row>
    <row r="16" spans="1:7" ht="5.25" customHeight="1" x14ac:dyDescent="0.25">
      <c r="A16" s="329"/>
    </row>
    <row r="17" spans="1:7" ht="5.25" customHeight="1" x14ac:dyDescent="0.25">
      <c r="A17" s="329"/>
    </row>
    <row r="18" spans="1:7" ht="21.75" customHeight="1" x14ac:dyDescent="0.25">
      <c r="A18" s="329"/>
      <c r="B18" s="133" t="s">
        <v>68</v>
      </c>
      <c r="C18" s="331" t="s">
        <v>63</v>
      </c>
      <c r="D18" s="332"/>
      <c r="E18" s="332"/>
      <c r="F18" s="332"/>
      <c r="G18" s="333"/>
    </row>
    <row r="19" spans="1:7" ht="6.75" customHeight="1" thickBot="1" x14ac:dyDescent="0.3">
      <c r="A19" s="329"/>
    </row>
    <row r="20" spans="1:7" s="135" customFormat="1" ht="45.75" customHeight="1" x14ac:dyDescent="0.25">
      <c r="A20" s="329"/>
      <c r="B20" s="137" t="s">
        <v>44</v>
      </c>
      <c r="C20" s="334" t="s">
        <v>13</v>
      </c>
      <c r="D20" s="334"/>
      <c r="E20" s="138" t="s">
        <v>45</v>
      </c>
      <c r="F20" s="139" t="s">
        <v>54</v>
      </c>
      <c r="G20" s="140" t="s">
        <v>46</v>
      </c>
    </row>
    <row r="21" spans="1:7" s="135" customFormat="1" ht="18" customHeight="1" x14ac:dyDescent="0.25">
      <c r="A21" s="329"/>
      <c r="B21" s="141"/>
      <c r="C21" s="335" t="s">
        <v>8</v>
      </c>
      <c r="D21" s="335"/>
      <c r="E21" s="142" t="s">
        <v>78</v>
      </c>
      <c r="F21" s="142" t="s">
        <v>79</v>
      </c>
      <c r="G21" s="143" t="s">
        <v>80</v>
      </c>
    </row>
    <row r="22" spans="1:7" s="135" customFormat="1" ht="18" customHeight="1" thickBot="1" x14ac:dyDescent="0.3">
      <c r="A22" s="329"/>
      <c r="B22" s="144" t="s">
        <v>9</v>
      </c>
      <c r="C22" s="145" t="s">
        <v>10</v>
      </c>
      <c r="D22" s="145" t="s">
        <v>11</v>
      </c>
      <c r="E22" s="145" t="s">
        <v>47</v>
      </c>
      <c r="F22" s="145" t="s">
        <v>17</v>
      </c>
      <c r="G22" s="146" t="s">
        <v>15</v>
      </c>
    </row>
    <row r="23" spans="1:7" ht="15" customHeight="1" x14ac:dyDescent="0.25">
      <c r="A23" s="329"/>
      <c r="B23" s="147">
        <v>1</v>
      </c>
      <c r="C23" s="163">
        <v>0</v>
      </c>
      <c r="D23" s="163">
        <v>1750000</v>
      </c>
      <c r="E23" s="149">
        <v>0</v>
      </c>
      <c r="F23" s="163">
        <v>0</v>
      </c>
      <c r="G23" s="150">
        <v>0.32840000000000003</v>
      </c>
    </row>
    <row r="24" spans="1:7" ht="15" customHeight="1" x14ac:dyDescent="0.25">
      <c r="A24" s="329"/>
      <c r="B24" s="151">
        <v>2</v>
      </c>
      <c r="C24" s="164">
        <v>1750000</v>
      </c>
      <c r="D24" s="164">
        <v>2000000</v>
      </c>
      <c r="E24" s="153">
        <v>5747</v>
      </c>
      <c r="F24" s="164">
        <v>1750000</v>
      </c>
      <c r="G24" s="154">
        <v>0.32269999999999999</v>
      </c>
    </row>
    <row r="25" spans="1:7" ht="15" customHeight="1" x14ac:dyDescent="0.25">
      <c r="A25" s="329"/>
      <c r="B25" s="155">
        <v>3</v>
      </c>
      <c r="C25" s="165">
        <v>2000000</v>
      </c>
      <c r="D25" s="165">
        <v>3000000</v>
      </c>
      <c r="E25" s="157">
        <v>6553.75</v>
      </c>
      <c r="F25" s="165">
        <v>2000000</v>
      </c>
      <c r="G25" s="158">
        <v>0.31759999999999999</v>
      </c>
    </row>
    <row r="26" spans="1:7" ht="15" customHeight="1" x14ac:dyDescent="0.25">
      <c r="A26" s="329"/>
      <c r="B26" s="151">
        <v>4</v>
      </c>
      <c r="C26" s="164">
        <v>3000000</v>
      </c>
      <c r="D26" s="164">
        <v>5000000</v>
      </c>
      <c r="E26" s="153">
        <v>9729.75</v>
      </c>
      <c r="F26" s="164">
        <v>3000000</v>
      </c>
      <c r="G26" s="154">
        <v>0.30309999999999998</v>
      </c>
    </row>
    <row r="27" spans="1:7" ht="15" customHeight="1" x14ac:dyDescent="0.25">
      <c r="A27" s="329"/>
      <c r="B27" s="155">
        <v>5</v>
      </c>
      <c r="C27" s="165">
        <v>5000000</v>
      </c>
      <c r="D27" s="165">
        <v>7500000</v>
      </c>
      <c r="E27" s="157">
        <v>15791.75</v>
      </c>
      <c r="F27" s="165">
        <v>5000000</v>
      </c>
      <c r="G27" s="158">
        <v>0.27800000000000002</v>
      </c>
    </row>
    <row r="28" spans="1:7" ht="15" customHeight="1" x14ac:dyDescent="0.25">
      <c r="A28" s="329"/>
      <c r="B28" s="151">
        <v>6</v>
      </c>
      <c r="C28" s="164">
        <v>7500000</v>
      </c>
      <c r="D28" s="164">
        <v>10000000</v>
      </c>
      <c r="E28" s="153">
        <v>22741.75</v>
      </c>
      <c r="F28" s="164">
        <v>7500000</v>
      </c>
      <c r="G28" s="154">
        <v>0.24879999999999999</v>
      </c>
    </row>
    <row r="29" spans="1:7" ht="15" customHeight="1" x14ac:dyDescent="0.25">
      <c r="A29" s="329"/>
      <c r="B29" s="155">
        <v>7</v>
      </c>
      <c r="C29" s="165">
        <v>10000000</v>
      </c>
      <c r="D29" s="165">
        <v>25000000</v>
      </c>
      <c r="E29" s="157">
        <v>28961.75</v>
      </c>
      <c r="F29" s="165">
        <v>10000000</v>
      </c>
      <c r="G29" s="158">
        <v>0.1691</v>
      </c>
    </row>
    <row r="30" spans="1:7" ht="15" customHeight="1" thickBot="1" x14ac:dyDescent="0.3">
      <c r="A30" s="329"/>
      <c r="B30" s="166">
        <v>8</v>
      </c>
      <c r="C30" s="167">
        <v>25000000</v>
      </c>
      <c r="D30" s="167"/>
      <c r="E30" s="168">
        <v>54326.75</v>
      </c>
      <c r="F30" s="167">
        <v>25000000</v>
      </c>
      <c r="G30" s="169">
        <v>9.01E-2</v>
      </c>
    </row>
    <row r="31" spans="1:7" x14ac:dyDescent="0.25">
      <c r="A31" s="329"/>
    </row>
    <row r="32" spans="1:7" ht="21.75" customHeight="1" x14ac:dyDescent="0.25">
      <c r="A32" s="329"/>
      <c r="B32" s="133" t="s">
        <v>67</v>
      </c>
      <c r="C32" s="331" t="s">
        <v>64</v>
      </c>
      <c r="D32" s="332"/>
      <c r="E32" s="332"/>
      <c r="F32" s="332"/>
      <c r="G32" s="333"/>
    </row>
    <row r="33" spans="1:7" ht="7.5" customHeight="1" thickBot="1" x14ac:dyDescent="0.3">
      <c r="A33" s="329"/>
      <c r="B33" s="170"/>
    </row>
    <row r="34" spans="1:7" ht="45.75" customHeight="1" x14ac:dyDescent="0.25">
      <c r="A34" s="329"/>
      <c r="B34" s="137" t="s">
        <v>44</v>
      </c>
      <c r="C34" s="334" t="s">
        <v>6</v>
      </c>
      <c r="D34" s="334"/>
      <c r="E34" s="138" t="s">
        <v>45</v>
      </c>
      <c r="F34" s="139" t="s">
        <v>55</v>
      </c>
      <c r="G34" s="140" t="s">
        <v>7</v>
      </c>
    </row>
    <row r="35" spans="1:7" x14ac:dyDescent="0.25">
      <c r="A35" s="329"/>
      <c r="B35" s="141"/>
      <c r="C35" s="335" t="s">
        <v>8</v>
      </c>
      <c r="D35" s="335"/>
      <c r="E35" s="142" t="s">
        <v>136</v>
      </c>
      <c r="F35" s="142" t="s">
        <v>137</v>
      </c>
      <c r="G35" s="143" t="s">
        <v>138</v>
      </c>
    </row>
    <row r="36" spans="1:7" ht="14.25" thickBot="1" x14ac:dyDescent="0.3">
      <c r="A36" s="329"/>
      <c r="B36" s="144" t="s">
        <v>9</v>
      </c>
      <c r="C36" s="145" t="s">
        <v>56</v>
      </c>
      <c r="D36" s="145" t="s">
        <v>57</v>
      </c>
      <c r="E36" s="145" t="s">
        <v>47</v>
      </c>
      <c r="F36" s="145" t="s">
        <v>48</v>
      </c>
      <c r="G36" s="146" t="s">
        <v>12</v>
      </c>
    </row>
    <row r="37" spans="1:7" ht="15" customHeight="1" x14ac:dyDescent="0.25">
      <c r="A37" s="329"/>
      <c r="B37" s="171">
        <v>1</v>
      </c>
      <c r="C37" s="172">
        <v>0</v>
      </c>
      <c r="D37" s="172">
        <v>750</v>
      </c>
      <c r="E37" s="173">
        <v>0</v>
      </c>
      <c r="F37" s="172">
        <v>0</v>
      </c>
      <c r="G37" s="174">
        <v>20.3033</v>
      </c>
    </row>
    <row r="38" spans="1:7" ht="15" customHeight="1" x14ac:dyDescent="0.25">
      <c r="A38" s="329"/>
      <c r="B38" s="175">
        <v>2</v>
      </c>
      <c r="C38" s="176">
        <v>750</v>
      </c>
      <c r="D38" s="176">
        <v>1500</v>
      </c>
      <c r="E38" s="177">
        <v>15227.48</v>
      </c>
      <c r="F38" s="176">
        <v>750</v>
      </c>
      <c r="G38" s="178">
        <v>19.057700000000001</v>
      </c>
    </row>
    <row r="39" spans="1:7" ht="15" customHeight="1" x14ac:dyDescent="0.25">
      <c r="A39" s="329"/>
      <c r="B39" s="179">
        <v>3</v>
      </c>
      <c r="C39" s="180">
        <v>1500</v>
      </c>
      <c r="D39" s="180">
        <v>3000</v>
      </c>
      <c r="E39" s="181">
        <v>29520.76</v>
      </c>
      <c r="F39" s="180">
        <v>1500</v>
      </c>
      <c r="G39" s="182">
        <v>16.8903</v>
      </c>
    </row>
    <row r="40" spans="1:7" ht="15" customHeight="1" x14ac:dyDescent="0.25">
      <c r="A40" s="329"/>
      <c r="B40" s="175">
        <v>4</v>
      </c>
      <c r="C40" s="176">
        <v>3000</v>
      </c>
      <c r="D40" s="176">
        <v>5000</v>
      </c>
      <c r="E40" s="177">
        <v>54856.21</v>
      </c>
      <c r="F40" s="176">
        <v>3000</v>
      </c>
      <c r="G40" s="178">
        <v>14.018000000000001</v>
      </c>
    </row>
    <row r="41" spans="1:7" ht="15" customHeight="1" x14ac:dyDescent="0.25">
      <c r="A41" s="329"/>
      <c r="B41" s="179">
        <v>5</v>
      </c>
      <c r="C41" s="180">
        <v>5000</v>
      </c>
      <c r="D41" s="180">
        <v>7500</v>
      </c>
      <c r="E41" s="181">
        <v>82892.210000000006</v>
      </c>
      <c r="F41" s="180">
        <v>5000</v>
      </c>
      <c r="G41" s="182">
        <v>11.6127</v>
      </c>
    </row>
    <row r="42" spans="1:7" ht="15" customHeight="1" x14ac:dyDescent="0.25">
      <c r="A42" s="329"/>
      <c r="B42" s="175">
        <v>6</v>
      </c>
      <c r="C42" s="176">
        <v>7500</v>
      </c>
      <c r="D42" s="176">
        <v>10000</v>
      </c>
      <c r="E42" s="177">
        <v>111923.96</v>
      </c>
      <c r="F42" s="176">
        <v>7500</v>
      </c>
      <c r="G42" s="178">
        <v>10.149699999999999</v>
      </c>
    </row>
    <row r="43" spans="1:7" ht="15" customHeight="1" x14ac:dyDescent="0.25">
      <c r="A43" s="329"/>
      <c r="B43" s="179">
        <v>7</v>
      </c>
      <c r="C43" s="180">
        <v>10000</v>
      </c>
      <c r="D43" s="180">
        <v>25000</v>
      </c>
      <c r="E43" s="181">
        <v>137298.21</v>
      </c>
      <c r="F43" s="180">
        <v>10000</v>
      </c>
      <c r="G43" s="182">
        <v>8.9047999999999998</v>
      </c>
    </row>
    <row r="44" spans="1:7" ht="15" customHeight="1" x14ac:dyDescent="0.25">
      <c r="A44" s="329"/>
      <c r="B44" s="175">
        <v>8</v>
      </c>
      <c r="C44" s="176">
        <v>25000</v>
      </c>
      <c r="D44" s="176">
        <v>50000</v>
      </c>
      <c r="E44" s="177">
        <v>270870.21000000002</v>
      </c>
      <c r="F44" s="176">
        <v>25000</v>
      </c>
      <c r="G44" s="178">
        <v>8.7667999999999999</v>
      </c>
    </row>
    <row r="45" spans="1:7" ht="15" customHeight="1" x14ac:dyDescent="0.25">
      <c r="A45" s="329"/>
      <c r="B45" s="179">
        <v>9</v>
      </c>
      <c r="C45" s="180">
        <v>50000</v>
      </c>
      <c r="D45" s="180">
        <v>75000</v>
      </c>
      <c r="E45" s="181">
        <v>490040.21</v>
      </c>
      <c r="F45" s="180">
        <v>50000</v>
      </c>
      <c r="G45" s="182">
        <v>8.8968000000000007</v>
      </c>
    </row>
    <row r="46" spans="1:7" ht="15" customHeight="1" thickBot="1" x14ac:dyDescent="0.3">
      <c r="A46" s="329"/>
      <c r="B46" s="183">
        <v>10</v>
      </c>
      <c r="C46" s="184">
        <v>75000</v>
      </c>
      <c r="D46" s="184">
        <v>500000</v>
      </c>
      <c r="E46" s="185">
        <v>712460.21</v>
      </c>
      <c r="F46" s="184">
        <v>75000</v>
      </c>
      <c r="G46" s="186">
        <v>9.0591000000000008</v>
      </c>
    </row>
  </sheetData>
  <mergeCells count="11">
    <mergeCell ref="C35:D35"/>
    <mergeCell ref="A2:A46"/>
    <mergeCell ref="B2:G2"/>
    <mergeCell ref="C4:G4"/>
    <mergeCell ref="C6:D6"/>
    <mergeCell ref="C7:D7"/>
    <mergeCell ref="C18:G18"/>
    <mergeCell ref="C20:D20"/>
    <mergeCell ref="C21:D21"/>
    <mergeCell ref="C32:G32"/>
    <mergeCell ref="C34:D34"/>
  </mergeCells>
  <pageMargins left="0.8" right="0.3" top="0.7" bottom="0.7" header="0.3" footer="0.3"/>
  <pageSetup paperSize="9" scale="95" orientation="portrait" verticalDpi="598" r:id="rId1"/>
  <headerFooter>
    <oddHeader>&amp;R&amp;G</oddHeader>
    <oddFooter xml:space="preserve">&amp;L&amp;"DIN-light,Standard"&amp;7NGS-N_Z, pf
&amp;Z&amp;F&amp;C&amp;"DIN-light,Standard"&amp;7Seite &amp;P von &amp;N
&amp;R&amp;"DIN-light,Standard"&amp;7&amp;D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H62"/>
  <sheetViews>
    <sheetView workbookViewId="0">
      <selection activeCell="E8" sqref="E8"/>
    </sheetView>
  </sheetViews>
  <sheetFormatPr baseColWidth="10" defaultColWidth="0" defaultRowHeight="13.5" zeroHeight="1" outlineLevelCol="1" x14ac:dyDescent="0.25"/>
  <cols>
    <col min="1" max="1" width="1.42578125" style="191" customWidth="1"/>
    <col min="2" max="2" width="18" style="190" customWidth="1" outlineLevel="1"/>
    <col min="3" max="3" width="29.5703125" style="190" customWidth="1" outlineLevel="1"/>
    <col min="4" max="4" width="18.42578125" style="190" customWidth="1" outlineLevel="1"/>
    <col min="5" max="5" width="14.28515625" style="190" customWidth="1" outlineLevel="1"/>
    <col min="6" max="6" width="18.42578125" style="190" customWidth="1" outlineLevel="1"/>
    <col min="7" max="7" width="20.5703125" style="190" customWidth="1" outlineLevel="1"/>
    <col min="8" max="8" width="3" style="190" customWidth="1"/>
    <col min="9" max="10" width="2.7109375" style="191" hidden="1" customWidth="1"/>
    <col min="11" max="11" width="0" style="191" hidden="1" customWidth="1"/>
    <col min="12" max="12" width="19.28515625" style="191" hidden="1" customWidth="1" outlineLevel="1"/>
    <col min="13" max="13" width="13.42578125" style="191" hidden="1" customWidth="1" outlineLevel="1"/>
    <col min="14" max="14" width="8.28515625" style="191" hidden="1" customWidth="1" outlineLevel="1"/>
    <col min="15" max="15" width="22.140625" style="191" hidden="1" customWidth="1" outlineLevel="1"/>
    <col min="16" max="16" width="3.5703125" style="191" hidden="1" customWidth="1" collapsed="1"/>
    <col min="17" max="17" width="11.42578125" style="191" hidden="1" customWidth="1"/>
    <col min="18" max="18" width="13.42578125" style="191" hidden="1" customWidth="1"/>
    <col min="19" max="19" width="15.42578125" style="191" hidden="1" customWidth="1"/>
    <col min="20" max="20" width="11.42578125" style="191" hidden="1" customWidth="1"/>
    <col min="21" max="21" width="13.42578125" style="191" hidden="1" customWidth="1"/>
    <col min="22" max="34" width="0" style="191" hidden="1" customWidth="1"/>
    <col min="35" max="16384" width="11.42578125" style="191" hidden="1"/>
  </cols>
  <sheetData>
    <row r="1" spans="1:19" ht="32.25" thickBot="1" x14ac:dyDescent="0.3">
      <c r="A1" s="345"/>
      <c r="B1" s="187" t="s">
        <v>107</v>
      </c>
      <c r="C1" s="188"/>
      <c r="D1" s="188"/>
      <c r="E1" s="188"/>
      <c r="F1" s="188"/>
      <c r="G1" s="189"/>
    </row>
    <row r="2" spans="1:19" ht="19.5" x14ac:dyDescent="0.25">
      <c r="A2" s="345"/>
      <c r="B2" s="192" t="s">
        <v>139</v>
      </c>
      <c r="C2" s="193"/>
      <c r="D2" s="194"/>
      <c r="E2" s="194"/>
      <c r="F2" s="195"/>
      <c r="G2" s="196" t="str">
        <f>+Entgeltrechner2020_inklVNB!G2</f>
        <v>Gültigkeit : 01.01.2020 bis 31.12.2020</v>
      </c>
      <c r="H2" s="195"/>
    </row>
    <row r="3" spans="1:19" x14ac:dyDescent="0.25">
      <c r="A3" s="345"/>
      <c r="B3" s="346"/>
      <c r="C3" s="346"/>
      <c r="D3" s="346"/>
      <c r="E3" s="346"/>
      <c r="F3" s="346"/>
      <c r="G3" s="346"/>
    </row>
    <row r="4" spans="1:19" x14ac:dyDescent="0.25">
      <c r="A4" s="345"/>
      <c r="B4" s="190" t="s">
        <v>111</v>
      </c>
    </row>
    <row r="5" spans="1:19" x14ac:dyDescent="0.25">
      <c r="A5" s="345"/>
      <c r="B5" s="190" t="s">
        <v>113</v>
      </c>
    </row>
    <row r="6" spans="1:19" ht="21" customHeight="1" x14ac:dyDescent="0.25">
      <c r="A6" s="345"/>
      <c r="B6" s="197" t="s">
        <v>112</v>
      </c>
      <c r="C6" s="197"/>
      <c r="D6" s="197"/>
      <c r="E6" s="197"/>
    </row>
    <row r="7" spans="1:19" ht="14.25" thickBot="1" x14ac:dyDescent="0.3">
      <c r="A7" s="345"/>
      <c r="H7" s="191"/>
    </row>
    <row r="8" spans="1:19" ht="24.75" customHeight="1" thickBot="1" x14ac:dyDescent="0.3">
      <c r="A8" s="345"/>
      <c r="B8" s="198" t="s">
        <v>110</v>
      </c>
      <c r="C8" s="199"/>
      <c r="D8" s="200"/>
      <c r="E8" s="201">
        <f>O20/M13</f>
        <v>20.2486</v>
      </c>
      <c r="F8" s="202" t="s">
        <v>12</v>
      </c>
      <c r="H8" s="191"/>
    </row>
    <row r="9" spans="1:19" ht="14.25" thickBot="1" x14ac:dyDescent="0.3">
      <c r="A9" s="345"/>
      <c r="H9" s="191"/>
    </row>
    <row r="10" spans="1:19" ht="30" x14ac:dyDescent="0.25">
      <c r="A10" s="345"/>
      <c r="B10" s="339" t="s">
        <v>91</v>
      </c>
      <c r="C10" s="203" t="s">
        <v>108</v>
      </c>
      <c r="D10" s="203" t="s">
        <v>90</v>
      </c>
      <c r="E10" s="341" t="s">
        <v>140</v>
      </c>
      <c r="F10" s="342"/>
      <c r="G10" s="204" t="s">
        <v>92</v>
      </c>
      <c r="H10" s="191"/>
    </row>
    <row r="11" spans="1:19" ht="15.75" thickBot="1" x14ac:dyDescent="0.3">
      <c r="A11" s="345"/>
      <c r="B11" s="340"/>
      <c r="C11" s="205" t="s">
        <v>48</v>
      </c>
      <c r="D11" s="205" t="s">
        <v>48</v>
      </c>
      <c r="E11" s="343"/>
      <c r="F11" s="344"/>
      <c r="G11" s="206" t="s">
        <v>93</v>
      </c>
      <c r="H11" s="191"/>
    </row>
    <row r="12" spans="1:19" ht="14.25" thickBot="1" x14ac:dyDescent="0.3">
      <c r="A12" s="345"/>
      <c r="H12" s="191"/>
    </row>
    <row r="13" spans="1:19" ht="15.75" customHeight="1" x14ac:dyDescent="0.25">
      <c r="A13" s="345"/>
      <c r="B13" s="207" t="s">
        <v>94</v>
      </c>
      <c r="C13" s="208">
        <v>0</v>
      </c>
      <c r="D13" s="209">
        <f t="shared" ref="D13:D24" si="0">+IF(C13=0,0,MAX($C$13:$C$24))</f>
        <v>0</v>
      </c>
      <c r="E13" s="210">
        <v>0.25</v>
      </c>
      <c r="F13" s="211">
        <f>1/4</f>
        <v>0.25</v>
      </c>
      <c r="G13" s="212">
        <f t="shared" ref="G13:G24" si="1">+F13*D13*$E$8</f>
        <v>0</v>
      </c>
      <c r="H13" s="191"/>
      <c r="K13" s="190"/>
      <c r="L13" s="213" t="s">
        <v>75</v>
      </c>
      <c r="M13" s="214">
        <f>+MAX(C13:C24)</f>
        <v>500</v>
      </c>
      <c r="N13" s="215" t="s">
        <v>48</v>
      </c>
      <c r="O13" s="190"/>
      <c r="S13" s="216"/>
    </row>
    <row r="14" spans="1:19" ht="15.75" customHeight="1" x14ac:dyDescent="0.25">
      <c r="A14" s="345"/>
      <c r="B14" s="217" t="s">
        <v>95</v>
      </c>
      <c r="C14" s="218">
        <v>0</v>
      </c>
      <c r="D14" s="219">
        <f t="shared" si="0"/>
        <v>0</v>
      </c>
      <c r="E14" s="220">
        <v>0.25</v>
      </c>
      <c r="F14" s="221">
        <f>1/4</f>
        <v>0.25</v>
      </c>
      <c r="G14" s="222">
        <f t="shared" si="1"/>
        <v>0</v>
      </c>
      <c r="H14" s="191"/>
      <c r="K14" s="190"/>
      <c r="L14" s="213" t="s">
        <v>58</v>
      </c>
      <c r="M14" s="223">
        <f>+LOOKUP(M13,'Preistabellen inkl. VNB'!C37:C46,'Preistabellen inkl. VNB'!B37:B46)</f>
        <v>1</v>
      </c>
      <c r="N14" s="215"/>
      <c r="O14" s="190"/>
    </row>
    <row r="15" spans="1:19" ht="15.75" customHeight="1" x14ac:dyDescent="0.25">
      <c r="A15" s="345"/>
      <c r="B15" s="217" t="s">
        <v>96</v>
      </c>
      <c r="C15" s="218">
        <v>0</v>
      </c>
      <c r="D15" s="219">
        <f t="shared" si="0"/>
        <v>0</v>
      </c>
      <c r="E15" s="220">
        <v>0.16666666666666666</v>
      </c>
      <c r="F15" s="224">
        <f>1/6</f>
        <v>0.16666666666666666</v>
      </c>
      <c r="G15" s="222">
        <f>+F15*D15*$E$8</f>
        <v>0</v>
      </c>
      <c r="H15" s="191"/>
      <c r="K15" s="190"/>
      <c r="L15" s="213" t="s">
        <v>7</v>
      </c>
      <c r="M15" s="225">
        <f>+LOOKUP(M13,'Preistabellen inkl. VNB'!C37:C46,'Preistabellen inkl. VNB'!G37:G46)</f>
        <v>20.2486</v>
      </c>
      <c r="N15" s="215" t="s">
        <v>12</v>
      </c>
      <c r="O15" s="226"/>
    </row>
    <row r="16" spans="1:19" ht="15.75" customHeight="1" x14ac:dyDescent="0.25">
      <c r="A16" s="345"/>
      <c r="B16" s="217" t="s">
        <v>97</v>
      </c>
      <c r="C16" s="218">
        <v>0</v>
      </c>
      <c r="D16" s="219">
        <f t="shared" si="0"/>
        <v>0</v>
      </c>
      <c r="E16" s="220" t="s">
        <v>98</v>
      </c>
      <c r="F16" s="224">
        <f t="shared" ref="F16:F21" si="2">1/12</f>
        <v>8.3333333333333329E-2</v>
      </c>
      <c r="G16" s="222">
        <f t="shared" si="1"/>
        <v>0</v>
      </c>
      <c r="H16" s="191"/>
      <c r="K16" s="190"/>
      <c r="L16" s="213" t="s">
        <v>45</v>
      </c>
      <c r="M16" s="227">
        <f>+LOOKUP(M13,'Preistabellen inkl. VNB'!C37:C46,'Preistabellen inkl. VNB'!E37:E46)</f>
        <v>0</v>
      </c>
      <c r="N16" s="215"/>
      <c r="O16" s="190"/>
    </row>
    <row r="17" spans="1:34" ht="15.75" customHeight="1" x14ac:dyDescent="0.25">
      <c r="A17" s="345"/>
      <c r="B17" s="217" t="s">
        <v>99</v>
      </c>
      <c r="C17" s="218">
        <v>10</v>
      </c>
      <c r="D17" s="219">
        <f t="shared" si="0"/>
        <v>500</v>
      </c>
      <c r="E17" s="220" t="s">
        <v>98</v>
      </c>
      <c r="F17" s="224">
        <f t="shared" si="2"/>
        <v>8.3333333333333329E-2</v>
      </c>
      <c r="G17" s="222">
        <f t="shared" si="1"/>
        <v>843.69166666666661</v>
      </c>
      <c r="H17" s="191"/>
      <c r="K17" s="190"/>
      <c r="L17" s="213" t="s">
        <v>65</v>
      </c>
      <c r="M17" s="228">
        <f>+LOOKUP(M13,'Preistabellen inkl. VNB'!C37:C46,'Preistabellen inkl. VNB'!F37:F46)</f>
        <v>0</v>
      </c>
      <c r="N17" s="215"/>
      <c r="O17" s="190"/>
    </row>
    <row r="18" spans="1:34" ht="15.75" customHeight="1" x14ac:dyDescent="0.25">
      <c r="A18" s="345"/>
      <c r="B18" s="217" t="s">
        <v>100</v>
      </c>
      <c r="C18" s="218">
        <v>300</v>
      </c>
      <c r="D18" s="219">
        <f t="shared" si="0"/>
        <v>500</v>
      </c>
      <c r="E18" s="220" t="s">
        <v>98</v>
      </c>
      <c r="F18" s="224">
        <f t="shared" si="2"/>
        <v>8.3333333333333329E-2</v>
      </c>
      <c r="G18" s="222">
        <f t="shared" si="1"/>
        <v>843.69166666666661</v>
      </c>
      <c r="H18" s="191"/>
      <c r="K18" s="190"/>
      <c r="L18" s="213" t="s">
        <v>66</v>
      </c>
      <c r="M18" s="228">
        <f>+M13-M17</f>
        <v>500</v>
      </c>
      <c r="N18" s="215"/>
      <c r="O18" s="229"/>
    </row>
    <row r="19" spans="1:34" ht="15.75" customHeight="1" x14ac:dyDescent="0.25">
      <c r="A19" s="345"/>
      <c r="B19" s="217" t="s">
        <v>101</v>
      </c>
      <c r="C19" s="218">
        <v>100</v>
      </c>
      <c r="D19" s="219">
        <f t="shared" si="0"/>
        <v>500</v>
      </c>
      <c r="E19" s="220" t="s">
        <v>98</v>
      </c>
      <c r="F19" s="224">
        <f t="shared" si="2"/>
        <v>8.3333333333333329E-2</v>
      </c>
      <c r="G19" s="222">
        <f t="shared" si="1"/>
        <v>843.69166666666661</v>
      </c>
      <c r="H19" s="191"/>
      <c r="K19" s="215"/>
      <c r="L19" s="215"/>
      <c r="M19" s="215"/>
      <c r="N19" s="215"/>
      <c r="O19" s="229"/>
    </row>
    <row r="20" spans="1:34" ht="15.75" customHeight="1" x14ac:dyDescent="0.25">
      <c r="A20" s="345"/>
      <c r="B20" s="217" t="s">
        <v>102</v>
      </c>
      <c r="C20" s="218">
        <v>500</v>
      </c>
      <c r="D20" s="219">
        <f t="shared" si="0"/>
        <v>500</v>
      </c>
      <c r="E20" s="220" t="s">
        <v>98</v>
      </c>
      <c r="F20" s="224">
        <f t="shared" si="2"/>
        <v>8.3333333333333329E-2</v>
      </c>
      <c r="G20" s="222">
        <f t="shared" si="1"/>
        <v>843.69166666666661</v>
      </c>
      <c r="H20" s="191"/>
      <c r="K20" s="336" t="s">
        <v>83</v>
      </c>
      <c r="L20" s="337"/>
      <c r="M20" s="337"/>
      <c r="N20" s="338"/>
      <c r="O20" s="230">
        <f>ROUND(+M18*M15+M16,2)</f>
        <v>10124.299999999999</v>
      </c>
    </row>
    <row r="21" spans="1:34" ht="15.75" customHeight="1" x14ac:dyDescent="0.25">
      <c r="A21" s="345"/>
      <c r="B21" s="217" t="s">
        <v>103</v>
      </c>
      <c r="C21" s="218">
        <v>0</v>
      </c>
      <c r="D21" s="219">
        <f t="shared" si="0"/>
        <v>0</v>
      </c>
      <c r="E21" s="220" t="s">
        <v>98</v>
      </c>
      <c r="F21" s="224">
        <f t="shared" si="2"/>
        <v>8.3333333333333329E-2</v>
      </c>
      <c r="G21" s="222">
        <f t="shared" si="1"/>
        <v>0</v>
      </c>
      <c r="H21" s="191"/>
    </row>
    <row r="22" spans="1:34" ht="15.75" customHeight="1" x14ac:dyDescent="0.25">
      <c r="A22" s="345"/>
      <c r="B22" s="217" t="s">
        <v>104</v>
      </c>
      <c r="C22" s="218">
        <v>0</v>
      </c>
      <c r="D22" s="219">
        <f t="shared" si="0"/>
        <v>0</v>
      </c>
      <c r="E22" s="220">
        <v>0.16666666666666666</v>
      </c>
      <c r="F22" s="224">
        <f>1/6</f>
        <v>0.16666666666666666</v>
      </c>
      <c r="G22" s="222">
        <f t="shared" si="1"/>
        <v>0</v>
      </c>
      <c r="H22" s="191"/>
    </row>
    <row r="23" spans="1:34" ht="15.75" customHeight="1" x14ac:dyDescent="0.25">
      <c r="A23" s="345"/>
      <c r="B23" s="217" t="s">
        <v>105</v>
      </c>
      <c r="C23" s="218">
        <v>56</v>
      </c>
      <c r="D23" s="219">
        <f t="shared" si="0"/>
        <v>500</v>
      </c>
      <c r="E23" s="220">
        <v>0.16666666666666666</v>
      </c>
      <c r="F23" s="224">
        <f>1/6</f>
        <v>0.16666666666666666</v>
      </c>
      <c r="G23" s="222">
        <f t="shared" si="1"/>
        <v>1687.3833333333332</v>
      </c>
      <c r="H23" s="191"/>
    </row>
    <row r="24" spans="1:34" ht="15.75" customHeight="1" thickBot="1" x14ac:dyDescent="0.3">
      <c r="A24" s="345"/>
      <c r="B24" s="231" t="s">
        <v>106</v>
      </c>
      <c r="C24" s="232">
        <v>0</v>
      </c>
      <c r="D24" s="233">
        <f t="shared" si="0"/>
        <v>0</v>
      </c>
      <c r="E24" s="234">
        <v>0.25</v>
      </c>
      <c r="F24" s="235">
        <f>1/4</f>
        <v>0.25</v>
      </c>
      <c r="G24" s="236">
        <f t="shared" si="1"/>
        <v>0</v>
      </c>
      <c r="H24" s="191"/>
    </row>
    <row r="25" spans="1:34" ht="5.25" customHeight="1" x14ac:dyDescent="0.25">
      <c r="A25" s="345"/>
      <c r="H25" s="191"/>
    </row>
    <row r="26" spans="1:34" s="239" customFormat="1" ht="20.25" customHeight="1" x14ac:dyDescent="0.25">
      <c r="A26" s="345"/>
      <c r="B26" s="356" t="s">
        <v>109</v>
      </c>
      <c r="C26" s="357"/>
      <c r="D26" s="357"/>
      <c r="E26" s="357"/>
      <c r="F26" s="358"/>
      <c r="G26" s="237">
        <f>SUM(G13:G24)</f>
        <v>5062.1499999999996</v>
      </c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</row>
    <row r="27" spans="1:34" ht="4.5" customHeight="1" x14ac:dyDescent="0.25">
      <c r="A27" s="345"/>
      <c r="B27" s="191"/>
      <c r="C27" s="191"/>
      <c r="D27" s="191"/>
      <c r="E27" s="191"/>
      <c r="F27" s="191"/>
      <c r="G27" s="191"/>
    </row>
    <row r="28" spans="1:34" s="239" customFormat="1" ht="20.25" customHeight="1" x14ac:dyDescent="0.25">
      <c r="A28" s="345"/>
      <c r="B28" s="356" t="s">
        <v>60</v>
      </c>
      <c r="C28" s="357"/>
      <c r="D28" s="357"/>
      <c r="E28" s="357"/>
      <c r="F28" s="358"/>
      <c r="G28" s="237">
        <f>+Entgeltrechner2020_inklVNB!F32</f>
        <v>404.63</v>
      </c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</row>
    <row r="29" spans="1:34" ht="6.75" customHeight="1" x14ac:dyDescent="0.25">
      <c r="A29" s="345"/>
    </row>
    <row r="30" spans="1:34" s="243" customFormat="1" ht="25.5" customHeight="1" x14ac:dyDescent="0.25">
      <c r="A30" s="345"/>
      <c r="B30" s="359" t="str">
        <f>+Entgeltrechner2020_inklVNB!B43</f>
        <v>Transportentgelt RLM (Jahresabrechnung - Arbeit- und Leistungsentgelt)</v>
      </c>
      <c r="C30" s="360"/>
      <c r="D30" s="360"/>
      <c r="E30" s="360"/>
      <c r="F30" s="361">
        <f>+G26+G28</f>
        <v>5466.78</v>
      </c>
      <c r="G30" s="240">
        <f>+G28+G26</f>
        <v>5466.78</v>
      </c>
      <c r="H30" s="241"/>
      <c r="I30" s="241"/>
      <c r="J30" s="241"/>
      <c r="K30" s="241"/>
      <c r="L30" s="241"/>
      <c r="M30" s="241"/>
      <c r="N30" s="241"/>
      <c r="O30" s="242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</row>
    <row r="31" spans="1:34" s="190" customFormat="1" ht="6.75" customHeight="1" x14ac:dyDescent="0.25">
      <c r="A31" s="345"/>
      <c r="B31" s="244"/>
      <c r="C31" s="244"/>
      <c r="D31" s="244"/>
      <c r="E31" s="244"/>
      <c r="F31" s="244"/>
      <c r="G31" s="244"/>
      <c r="H31" s="244"/>
      <c r="I31" s="244"/>
      <c r="J31" s="244"/>
      <c r="L31" s="245"/>
      <c r="M31" s="245"/>
      <c r="N31" s="245"/>
      <c r="O31" s="246"/>
      <c r="Q31" s="191"/>
      <c r="R31" s="195"/>
      <c r="S31" s="195"/>
      <c r="T31" s="195"/>
      <c r="U31" s="195"/>
      <c r="V31" s="195"/>
      <c r="W31" s="195"/>
      <c r="X31" s="195"/>
      <c r="Y31" s="195"/>
      <c r="AB31" s="191"/>
      <c r="AC31" s="191"/>
      <c r="AD31" s="191"/>
      <c r="AE31" s="191"/>
      <c r="AF31" s="191"/>
      <c r="AG31" s="191"/>
      <c r="AH31" s="191"/>
    </row>
    <row r="32" spans="1:34" s="195" customFormat="1" ht="25.5" customHeight="1" x14ac:dyDescent="0.25">
      <c r="A32" s="345"/>
      <c r="B32" s="247" t="str">
        <f>+Entgeltrechner2020_inklVNB!B45</f>
        <v>Messstellenbetrieb</v>
      </c>
      <c r="C32" s="248"/>
      <c r="D32" s="248"/>
      <c r="E32" s="248"/>
      <c r="F32" s="248"/>
      <c r="G32" s="249"/>
      <c r="Q32" s="191"/>
    </row>
    <row r="33" spans="1:34" s="190" customFormat="1" ht="6" customHeight="1" x14ac:dyDescent="0.25">
      <c r="A33" s="345"/>
      <c r="G33" s="250"/>
      <c r="H33" s="195"/>
      <c r="I33" s="195"/>
      <c r="J33" s="195"/>
      <c r="K33" s="195"/>
      <c r="L33" s="195"/>
      <c r="M33" s="195"/>
      <c r="N33" s="195"/>
      <c r="O33" s="195"/>
      <c r="P33" s="195"/>
      <c r="Q33" s="191"/>
      <c r="S33" s="239"/>
      <c r="T33" s="239"/>
      <c r="U33" s="239"/>
      <c r="V33" s="239"/>
      <c r="W33" s="239"/>
      <c r="AB33" s="191"/>
      <c r="AC33" s="191"/>
      <c r="AD33" s="191"/>
      <c r="AE33" s="191"/>
      <c r="AF33" s="191"/>
      <c r="AG33" s="191"/>
      <c r="AH33" s="191"/>
    </row>
    <row r="34" spans="1:34" s="190" customFormat="1" ht="24" customHeight="1" x14ac:dyDescent="0.25">
      <c r="A34" s="345"/>
      <c r="B34" s="190" t="str">
        <f>+Entgeltrechner2020_inklVNB!B47</f>
        <v>Zählergröße</v>
      </c>
      <c r="C34" s="251" t="str">
        <f>+Entgeltrechner2020_inklVNB!C47</f>
        <v>G25</v>
      </c>
      <c r="G34" s="252">
        <f>+Entgeltrechner2020_inklVNB!G47</f>
        <v>67</v>
      </c>
      <c r="H34" s="195"/>
      <c r="I34" s="195"/>
      <c r="J34" s="195"/>
      <c r="K34" s="195"/>
      <c r="L34" s="195"/>
      <c r="M34" s="195"/>
      <c r="N34" s="195"/>
      <c r="O34" s="195"/>
      <c r="P34" s="195"/>
      <c r="Q34" s="191"/>
      <c r="AB34" s="191"/>
      <c r="AC34" s="191"/>
      <c r="AD34" s="191"/>
      <c r="AE34" s="191"/>
      <c r="AF34" s="191"/>
      <c r="AG34" s="191"/>
      <c r="AH34" s="191"/>
    </row>
    <row r="35" spans="1:34" s="190" customFormat="1" ht="6" customHeight="1" x14ac:dyDescent="0.25">
      <c r="A35" s="345"/>
      <c r="G35" s="250"/>
      <c r="H35" s="195"/>
      <c r="I35" s="195"/>
      <c r="J35" s="195"/>
      <c r="K35" s="195"/>
      <c r="L35" s="195"/>
      <c r="M35" s="195"/>
      <c r="N35" s="195"/>
      <c r="O35" s="195"/>
      <c r="P35" s="195"/>
      <c r="Q35" s="191"/>
      <c r="S35" s="243"/>
      <c r="T35" s="243"/>
      <c r="U35" s="243"/>
      <c r="V35" s="243"/>
      <c r="W35" s="243"/>
      <c r="AB35" s="191"/>
      <c r="AC35" s="191"/>
      <c r="AD35" s="191"/>
      <c r="AE35" s="191"/>
      <c r="AF35" s="191"/>
      <c r="AG35" s="191"/>
      <c r="AH35" s="191"/>
    </row>
    <row r="36" spans="1:34" s="190" customFormat="1" ht="24" customHeight="1" x14ac:dyDescent="0.25">
      <c r="A36" s="345"/>
      <c r="B36" s="190" t="str">
        <f>+Entgeltrechner2020_inklVNB!B49</f>
        <v>Mengenumwerter</v>
      </c>
      <c r="C36" s="251" t="str">
        <f>+Entgeltrechner2020_inklVNB!C49</f>
        <v>Nein</v>
      </c>
      <c r="G36" s="252">
        <f>+Entgeltrechner2020_inklVNB!G49</f>
        <v>0</v>
      </c>
      <c r="H36" s="195"/>
      <c r="I36" s="195"/>
      <c r="J36" s="195"/>
      <c r="K36" s="195"/>
      <c r="L36" s="195"/>
      <c r="M36" s="195"/>
      <c r="N36" s="195"/>
      <c r="O36" s="195"/>
      <c r="P36" s="195"/>
      <c r="Q36" s="191"/>
      <c r="R36" s="239"/>
      <c r="AB36" s="191"/>
      <c r="AC36" s="191"/>
      <c r="AD36" s="191"/>
      <c r="AE36" s="191"/>
      <c r="AF36" s="191"/>
      <c r="AG36" s="191"/>
      <c r="AH36" s="191"/>
    </row>
    <row r="37" spans="1:34" s="190" customFormat="1" ht="6" customHeight="1" x14ac:dyDescent="0.25">
      <c r="A37" s="345"/>
      <c r="G37" s="250"/>
      <c r="H37" s="195"/>
      <c r="I37" s="195"/>
      <c r="J37" s="195"/>
      <c r="K37" s="195"/>
      <c r="L37" s="195"/>
      <c r="M37" s="195"/>
      <c r="N37" s="195"/>
      <c r="O37" s="195"/>
      <c r="P37" s="195"/>
      <c r="Q37" s="191"/>
      <c r="AB37" s="191"/>
      <c r="AC37" s="191"/>
      <c r="AD37" s="191"/>
      <c r="AE37" s="191"/>
      <c r="AF37" s="191"/>
      <c r="AG37" s="191"/>
      <c r="AH37" s="191"/>
    </row>
    <row r="38" spans="1:34" s="190" customFormat="1" ht="24" customHeight="1" x14ac:dyDescent="0.25">
      <c r="A38" s="345"/>
      <c r="B38" s="190" t="str">
        <f>+Entgeltrechner2020_inklVNB!B51</f>
        <v>Tarifgerät</v>
      </c>
      <c r="C38" s="251" t="str">
        <f>+Entgeltrechner2020_inklVNB!C51</f>
        <v>Nein</v>
      </c>
      <c r="G38" s="252">
        <f>+Entgeltrechner2020_inklVNB!G51</f>
        <v>0</v>
      </c>
      <c r="H38" s="195"/>
      <c r="I38" s="195"/>
      <c r="J38" s="195"/>
      <c r="K38" s="195"/>
      <c r="L38" s="195"/>
      <c r="M38" s="195"/>
      <c r="N38" s="195"/>
      <c r="O38" s="195"/>
      <c r="P38" s="195"/>
      <c r="Q38" s="191"/>
      <c r="AB38" s="191"/>
      <c r="AC38" s="191"/>
      <c r="AD38" s="191"/>
      <c r="AE38" s="191"/>
      <c r="AF38" s="191"/>
      <c r="AG38" s="191"/>
      <c r="AH38" s="191"/>
    </row>
    <row r="39" spans="1:34" s="190" customFormat="1" ht="6" customHeight="1" x14ac:dyDescent="0.25">
      <c r="A39" s="345"/>
      <c r="G39" s="250"/>
      <c r="H39" s="195"/>
      <c r="I39" s="195"/>
      <c r="J39" s="195"/>
      <c r="K39" s="195"/>
      <c r="L39" s="195"/>
      <c r="M39" s="195"/>
      <c r="N39" s="195"/>
      <c r="O39" s="195"/>
      <c r="P39" s="195"/>
      <c r="Q39" s="191"/>
      <c r="AB39" s="191"/>
      <c r="AC39" s="191"/>
      <c r="AD39" s="191"/>
      <c r="AE39" s="191"/>
      <c r="AF39" s="191"/>
      <c r="AG39" s="191"/>
      <c r="AH39" s="191"/>
    </row>
    <row r="40" spans="1:34" s="190" customFormat="1" ht="25.5" customHeight="1" x14ac:dyDescent="0.25">
      <c r="A40" s="345"/>
      <c r="B40" s="247" t="str">
        <f>+Entgeltrechner2020_inklVNB!B55</f>
        <v>Messdienstleistung</v>
      </c>
      <c r="C40" s="248"/>
      <c r="D40" s="248"/>
      <c r="E40" s="248"/>
      <c r="F40" s="248"/>
      <c r="G40" s="250"/>
      <c r="H40" s="195"/>
      <c r="I40" s="195"/>
      <c r="J40" s="195"/>
      <c r="K40" s="195"/>
      <c r="L40" s="195"/>
      <c r="M40" s="195"/>
      <c r="N40" s="195"/>
      <c r="O40" s="195"/>
      <c r="P40" s="195"/>
      <c r="Q40" s="191"/>
      <c r="AB40" s="191"/>
      <c r="AC40" s="191"/>
      <c r="AD40" s="191"/>
      <c r="AE40" s="191"/>
      <c r="AF40" s="191"/>
      <c r="AG40" s="191"/>
      <c r="AH40" s="191"/>
    </row>
    <row r="41" spans="1:34" s="190" customFormat="1" ht="6" customHeight="1" x14ac:dyDescent="0.25">
      <c r="A41" s="345"/>
      <c r="C41" s="253"/>
      <c r="D41" s="253"/>
      <c r="G41" s="250"/>
      <c r="H41" s="195"/>
      <c r="I41" s="195"/>
      <c r="J41" s="195"/>
      <c r="K41" s="195"/>
      <c r="L41" s="195"/>
      <c r="M41" s="195"/>
      <c r="N41" s="195"/>
      <c r="O41" s="195"/>
      <c r="P41" s="195"/>
      <c r="Q41" s="191"/>
      <c r="AB41" s="191"/>
      <c r="AC41" s="191"/>
      <c r="AD41" s="191"/>
      <c r="AE41" s="191"/>
      <c r="AF41" s="191"/>
      <c r="AG41" s="191"/>
      <c r="AH41" s="191"/>
    </row>
    <row r="42" spans="1:34" s="190" customFormat="1" ht="24" customHeight="1" x14ac:dyDescent="0.25">
      <c r="A42" s="345"/>
      <c r="B42" s="306" t="str">
        <f>+Entgeltrechner2020_inklVNB!B57</f>
        <v>Zählerfernauslesung</v>
      </c>
      <c r="C42" s="69" t="str">
        <f>+Entgeltrechner2020_inklVNB!C57</f>
        <v>Nein</v>
      </c>
      <c r="D42" s="3" t="str">
        <f>+Entgeltrechner2020_inklVNB!D57</f>
        <v>= Ablesekarte je Abrechnung vom Kunden ausgefüllt</v>
      </c>
      <c r="E42" s="3"/>
      <c r="F42" s="3"/>
      <c r="G42" s="74">
        <f>+Entgeltrechner2020_inklVNB!G57</f>
        <v>2.2000000000000002</v>
      </c>
      <c r="H42" s="195"/>
      <c r="I42" s="195"/>
      <c r="J42" s="195"/>
      <c r="K42" s="195"/>
      <c r="L42" s="195"/>
      <c r="M42" s="195"/>
      <c r="N42" s="195"/>
      <c r="O42" s="195"/>
      <c r="P42" s="195"/>
      <c r="Q42" s="191"/>
      <c r="AB42" s="191"/>
      <c r="AC42" s="191"/>
      <c r="AD42" s="191"/>
      <c r="AE42" s="191"/>
      <c r="AF42" s="191"/>
      <c r="AG42" s="191"/>
      <c r="AH42" s="191"/>
    </row>
    <row r="43" spans="1:34" s="190" customFormat="1" ht="24" customHeight="1" x14ac:dyDescent="0.25">
      <c r="A43" s="345"/>
      <c r="B43" s="306"/>
      <c r="C43" s="254" t="str">
        <f>+Entgeltrechner2020_inklVNB!C58</f>
        <v>keine Fernauslesung bei SLP</v>
      </c>
      <c r="D43" s="3"/>
      <c r="E43" s="3"/>
      <c r="F43" s="255" t="str">
        <f>+Entgeltrechner2020_inklVNB!D58</f>
        <v>keine Zählerfernauslesung bei SLP-Abnahmestellen</v>
      </c>
      <c r="G43" s="74">
        <f>+Entgeltrechner2020_inklVNB!G58</f>
        <v>0</v>
      </c>
      <c r="H43" s="195"/>
      <c r="I43" s="195"/>
      <c r="J43" s="195"/>
      <c r="K43" s="195"/>
      <c r="L43" s="195"/>
      <c r="M43" s="195"/>
      <c r="N43" s="195"/>
      <c r="O43" s="195"/>
      <c r="P43" s="195"/>
      <c r="Q43" s="191"/>
      <c r="AB43" s="191"/>
      <c r="AC43" s="191"/>
      <c r="AD43" s="191"/>
      <c r="AE43" s="191"/>
      <c r="AF43" s="191"/>
      <c r="AG43" s="191"/>
      <c r="AH43" s="191"/>
    </row>
    <row r="44" spans="1:34" s="190" customFormat="1" ht="6" customHeight="1" x14ac:dyDescent="0.25">
      <c r="A44" s="345"/>
      <c r="G44" s="250"/>
      <c r="H44" s="195"/>
      <c r="I44" s="195"/>
      <c r="J44" s="195"/>
      <c r="K44" s="195"/>
      <c r="L44" s="195"/>
      <c r="M44" s="195"/>
      <c r="N44" s="195"/>
      <c r="O44" s="195"/>
      <c r="P44" s="195"/>
      <c r="Q44" s="191"/>
      <c r="AB44" s="191"/>
      <c r="AC44" s="191"/>
      <c r="AD44" s="191"/>
      <c r="AE44" s="191"/>
      <c r="AF44" s="191"/>
      <c r="AG44" s="191"/>
      <c r="AH44" s="191"/>
    </row>
    <row r="45" spans="1:34" s="190" customFormat="1" ht="25.5" customHeight="1" x14ac:dyDescent="0.25">
      <c r="A45" s="345"/>
      <c r="B45" s="247" t="str">
        <f>+Entgeltrechner2020_inklVNB!B60</f>
        <v>Preise für Sonderleistungen - Zähldatenerfassung</v>
      </c>
      <c r="C45" s="248"/>
      <c r="D45" s="248"/>
      <c r="E45" s="248"/>
      <c r="F45" s="248"/>
      <c r="G45" s="250"/>
      <c r="H45" s="195"/>
      <c r="I45" s="195"/>
      <c r="J45" s="195"/>
      <c r="K45" s="195"/>
      <c r="L45" s="195"/>
      <c r="M45" s="195"/>
      <c r="N45" s="195"/>
      <c r="O45" s="195"/>
      <c r="P45" s="195"/>
      <c r="Q45" s="191"/>
      <c r="AB45" s="191"/>
      <c r="AC45" s="191"/>
      <c r="AD45" s="191"/>
      <c r="AE45" s="191"/>
      <c r="AF45" s="191"/>
      <c r="AG45" s="191"/>
      <c r="AH45" s="191"/>
    </row>
    <row r="46" spans="1:34" s="190" customFormat="1" ht="6" customHeight="1" x14ac:dyDescent="0.25">
      <c r="A46" s="345"/>
      <c r="G46" s="250"/>
      <c r="H46" s="195"/>
      <c r="I46" s="195"/>
      <c r="J46" s="195"/>
      <c r="K46" s="195"/>
      <c r="L46" s="195"/>
      <c r="M46" s="195"/>
      <c r="N46" s="195"/>
      <c r="O46" s="195"/>
      <c r="P46" s="195"/>
      <c r="Q46" s="191"/>
      <c r="AB46" s="191"/>
      <c r="AC46" s="191"/>
      <c r="AD46" s="191"/>
      <c r="AE46" s="191"/>
      <c r="AF46" s="191"/>
      <c r="AG46" s="191"/>
      <c r="AH46" s="191"/>
    </row>
    <row r="47" spans="1:34" s="190" customFormat="1" ht="27" customHeight="1" x14ac:dyDescent="0.25">
      <c r="A47" s="345"/>
      <c r="B47" s="190" t="str">
        <f>+Entgeltrechner2020_inklVNB!B62</f>
        <v>Zähldatenerfassung</v>
      </c>
      <c r="C47" s="353" t="str">
        <f>+Entgeltrechner2020_inklVNB!C62</f>
        <v>Ablesekarte je Abrechnung</v>
      </c>
      <c r="D47" s="354">
        <f>+Entgeltrechner2020_inklVNB!D62</f>
        <v>0</v>
      </c>
      <c r="E47" s="354">
        <f>+Entgeltrechner2020_inklVNB!E62</f>
        <v>0</v>
      </c>
      <c r="F47" s="355">
        <f>+Entgeltrechner2020_inklVNB!F62</f>
        <v>0</v>
      </c>
      <c r="G47" s="256">
        <f>+Entgeltrechner2020_inklVNB!G62</f>
        <v>0</v>
      </c>
      <c r="H47" s="195"/>
      <c r="I47" s="195"/>
      <c r="J47" s="195"/>
      <c r="K47" s="195"/>
      <c r="L47" s="195"/>
      <c r="M47" s="195"/>
      <c r="N47" s="195"/>
      <c r="O47" s="195"/>
      <c r="P47" s="195"/>
      <c r="Q47" s="191"/>
      <c r="AB47" s="191"/>
      <c r="AC47" s="191"/>
      <c r="AD47" s="191"/>
      <c r="AE47" s="191"/>
      <c r="AF47" s="191"/>
      <c r="AG47" s="191"/>
      <c r="AH47" s="191"/>
    </row>
    <row r="48" spans="1:34" s="190" customFormat="1" ht="6" customHeight="1" x14ac:dyDescent="0.25">
      <c r="A48" s="345"/>
      <c r="G48" s="250"/>
      <c r="H48" s="195"/>
      <c r="I48" s="195"/>
      <c r="J48" s="195"/>
      <c r="K48" s="195"/>
      <c r="L48" s="195"/>
      <c r="M48" s="195"/>
      <c r="N48" s="195"/>
      <c r="O48" s="195"/>
      <c r="P48" s="195"/>
      <c r="Q48" s="191"/>
      <c r="AB48" s="191"/>
      <c r="AC48" s="191"/>
      <c r="AD48" s="191"/>
      <c r="AE48" s="191"/>
      <c r="AF48" s="191"/>
      <c r="AG48" s="191"/>
      <c r="AH48" s="191"/>
    </row>
    <row r="49" spans="1:34" s="195" customFormat="1" ht="25.5" customHeight="1" x14ac:dyDescent="0.25">
      <c r="A49" s="345"/>
      <c r="B49" s="247" t="e">
        <f>+Entgeltrechner2020_inklVNB!#REF!</f>
        <v>#REF!</v>
      </c>
      <c r="C49" s="248"/>
      <c r="D49" s="248"/>
      <c r="E49" s="248"/>
      <c r="F49" s="248"/>
      <c r="G49" s="257"/>
      <c r="Q49" s="191"/>
    </row>
    <row r="50" spans="1:34" s="190" customFormat="1" ht="6" customHeight="1" x14ac:dyDescent="0.25">
      <c r="A50" s="345"/>
      <c r="G50" s="250"/>
      <c r="H50" s="195"/>
      <c r="I50" s="195"/>
      <c r="J50" s="195"/>
      <c r="K50" s="195"/>
      <c r="L50" s="195"/>
      <c r="M50" s="195"/>
      <c r="N50" s="195"/>
      <c r="O50" s="195"/>
      <c r="P50" s="195"/>
      <c r="Q50" s="191"/>
      <c r="AB50" s="191"/>
      <c r="AC50" s="191"/>
      <c r="AD50" s="191"/>
      <c r="AE50" s="191"/>
      <c r="AF50" s="191"/>
      <c r="AG50" s="191"/>
      <c r="AH50" s="191"/>
    </row>
    <row r="51" spans="1:34" s="190" customFormat="1" ht="24" customHeight="1" x14ac:dyDescent="0.25">
      <c r="A51" s="345"/>
      <c r="B51" s="190" t="e">
        <f>+Entgeltrechner2020_inklVNB!#REF!</f>
        <v>#REF!</v>
      </c>
      <c r="C51" s="347" t="e">
        <f>+Entgeltrechner2020_inklVNB!#REF!</f>
        <v>#REF!</v>
      </c>
      <c r="D51" s="348"/>
      <c r="E51" s="348"/>
      <c r="F51" s="349"/>
      <c r="G51" s="252" t="e">
        <f>+Entgeltrechner2020_inklVNB!#REF!</f>
        <v>#REF!</v>
      </c>
      <c r="H51" s="195"/>
      <c r="I51" s="195"/>
      <c r="J51" s="195"/>
      <c r="K51" s="195"/>
      <c r="L51" s="195"/>
      <c r="M51" s="195"/>
      <c r="N51" s="195"/>
      <c r="O51" s="195"/>
      <c r="P51" s="195"/>
      <c r="Q51" s="191"/>
      <c r="R51" s="258"/>
      <c r="U51" s="258"/>
      <c r="AB51" s="191"/>
      <c r="AC51" s="191"/>
      <c r="AD51" s="191"/>
      <c r="AE51" s="191"/>
      <c r="AF51" s="191"/>
      <c r="AG51" s="191"/>
      <c r="AH51" s="191"/>
    </row>
    <row r="52" spans="1:34" s="190" customFormat="1" ht="11.25" customHeight="1" x14ac:dyDescent="0.25">
      <c r="A52" s="345"/>
      <c r="G52" s="250"/>
      <c r="H52" s="195"/>
      <c r="I52" s="195"/>
      <c r="J52" s="195"/>
      <c r="K52" s="195"/>
      <c r="L52" s="195"/>
      <c r="M52" s="195"/>
      <c r="N52" s="195"/>
      <c r="O52" s="195"/>
      <c r="P52" s="195"/>
      <c r="Q52" s="191"/>
      <c r="AB52" s="191"/>
      <c r="AC52" s="191"/>
      <c r="AD52" s="191"/>
      <c r="AE52" s="191"/>
      <c r="AF52" s="191"/>
      <c r="AG52" s="191"/>
      <c r="AH52" s="191"/>
    </row>
    <row r="53" spans="1:34" s="190" customFormat="1" ht="30.75" customHeight="1" x14ac:dyDescent="0.25">
      <c r="A53" s="345"/>
      <c r="B53" s="350" t="str">
        <f>+Entgeltrechner2020_inklVNB!B64</f>
        <v>Gesamtkosten Netznutzung 
ohne Konzessionsabgabe</v>
      </c>
      <c r="C53" s="351"/>
      <c r="D53" s="351"/>
      <c r="E53" s="351"/>
      <c r="F53" s="352"/>
      <c r="G53" s="259" t="e">
        <f>+G51+G47+G42+G38+G36+G34+G30+G43</f>
        <v>#REF!</v>
      </c>
      <c r="H53" s="195"/>
      <c r="I53" s="195"/>
      <c r="J53" s="195"/>
      <c r="K53" s="195"/>
      <c r="L53" s="195"/>
      <c r="M53" s="195"/>
      <c r="N53" s="195"/>
      <c r="O53" s="195"/>
      <c r="P53" s="195"/>
      <c r="Q53" s="191"/>
      <c r="R53" s="258"/>
      <c r="S53" s="260"/>
      <c r="AB53" s="191"/>
      <c r="AC53" s="191"/>
      <c r="AD53" s="191"/>
      <c r="AE53" s="191"/>
      <c r="AF53" s="191"/>
      <c r="AG53" s="191"/>
      <c r="AH53" s="191"/>
    </row>
    <row r="54" spans="1:34" x14ac:dyDescent="0.25">
      <c r="I54" s="190"/>
      <c r="J54" s="190"/>
      <c r="K54" s="190"/>
      <c r="L54" s="190"/>
      <c r="S54" s="261"/>
    </row>
    <row r="55" spans="1:34" hidden="1" x14ac:dyDescent="0.25">
      <c r="I55" s="190"/>
      <c r="J55" s="190"/>
      <c r="K55" s="190"/>
      <c r="L55" s="190"/>
    </row>
    <row r="56" spans="1:34" hidden="1" x14ac:dyDescent="0.25">
      <c r="I56" s="190"/>
      <c r="J56" s="190"/>
      <c r="K56" s="190"/>
      <c r="L56" s="190"/>
    </row>
    <row r="57" spans="1:34" hidden="1" x14ac:dyDescent="0.25">
      <c r="I57" s="190"/>
      <c r="J57" s="190"/>
      <c r="K57" s="190"/>
      <c r="L57" s="190"/>
    </row>
    <row r="58" spans="1:34" hidden="1" x14ac:dyDescent="0.25">
      <c r="H58" s="191"/>
    </row>
    <row r="59" spans="1:34" hidden="1" x14ac:dyDescent="0.25">
      <c r="H59" s="191"/>
    </row>
    <row r="60" spans="1:34" hidden="1" x14ac:dyDescent="0.25">
      <c r="H60" s="191"/>
    </row>
    <row r="61" spans="1:34" hidden="1" x14ac:dyDescent="0.25">
      <c r="H61" s="191"/>
    </row>
    <row r="62" spans="1:34" hidden="1" x14ac:dyDescent="0.25">
      <c r="H62" s="191"/>
    </row>
  </sheetData>
  <dataConsolidate/>
  <mergeCells count="12">
    <mergeCell ref="K20:N20"/>
    <mergeCell ref="B42:B43"/>
    <mergeCell ref="B10:B11"/>
    <mergeCell ref="E10:F11"/>
    <mergeCell ref="A1:A53"/>
    <mergeCell ref="B3:G3"/>
    <mergeCell ref="C51:F51"/>
    <mergeCell ref="B53:F53"/>
    <mergeCell ref="C47:F47"/>
    <mergeCell ref="B26:F26"/>
    <mergeCell ref="B28:F28"/>
    <mergeCell ref="B30:F30"/>
  </mergeCells>
  <dataValidations count="1">
    <dataValidation type="decimal" allowBlank="1" showInputMessage="1" showErrorMessage="1" sqref="C13:C24">
      <formula1>0</formula1>
      <formula2>9999999999999990000</formula2>
    </dataValidation>
  </dataValidations>
  <pageMargins left="0.8" right="0.3" top="0.7" bottom="0.7" header="0.3" footer="0.3"/>
  <pageSetup paperSize="9" scale="50" orientation="portrait" horizontalDpi="4294967295" verticalDpi="4294967295" r:id="rId1"/>
  <headerFooter>
    <oddHeader>&amp;R&amp;G</oddHeader>
    <oddFooter xml:space="preserve">&amp;L&amp;"DIN-light,Standard"&amp;7NGS-N_Z, pf
&amp;Z&amp;F&amp;C&amp;"DIN-light,Standard"&amp;7Seite &amp;P von &amp;N
&amp;R&amp;"DIN-light,Standard"&amp;7&amp;D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Entgeltrechner2020_inklVNB</vt:lpstr>
      <vt:lpstr>Messtechnik</vt:lpstr>
      <vt:lpstr>Preistabellen inkl. VNB</vt:lpstr>
      <vt:lpstr>verkn.Preistabellen inkl. VNB</vt:lpstr>
      <vt:lpstr>unterjNN</vt:lpstr>
      <vt:lpstr>Entgeltrechner2020_inklVNB!Print_Area</vt:lpstr>
      <vt:lpstr>Entgeltrechner2020_inklVNB!Print_Titles</vt:lpstr>
      <vt:lpstr>Zaehler</vt:lpstr>
    </vt:vector>
  </TitlesOfParts>
  <Company>Erdgas Südwest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Pfaffth</dc:creator>
  <cp:lastModifiedBy>Pfaff Thomas</cp:lastModifiedBy>
  <cp:lastPrinted>2019-01-09T09:59:38Z</cp:lastPrinted>
  <dcterms:created xsi:type="dcterms:W3CDTF">2009-02-10T11:15:24Z</dcterms:created>
  <dcterms:modified xsi:type="dcterms:W3CDTF">2020-01-03T09:53:02Z</dcterms:modified>
</cp:coreProperties>
</file>