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180" yWindow="60" windowWidth="15990" windowHeight="14985"/>
  </bookViews>
  <sheets>
    <sheet name="Entgeltrechner2019_inklVNB" sheetId="1" r:id="rId1"/>
    <sheet name="Messtechnik" sheetId="3" state="hidden" r:id="rId2"/>
    <sheet name="Preistabellen inkl. VNB" sheetId="5" state="hidden" r:id="rId3"/>
    <sheet name="verkn.Preistabellen inkl. VNB" sheetId="10" state="hidden" r:id="rId4"/>
    <sheet name="unterjNN" sheetId="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HWA09" localSheetId="3">#REF!</definedName>
    <definedName name="_HWA09">#REF!</definedName>
    <definedName name="_HWL09" localSheetId="3">#REF!</definedName>
    <definedName name="_HWL09">#REF!</definedName>
    <definedName name="aeot" localSheetId="3">[1]Entgeltrechner2007!#REF!</definedName>
    <definedName name="aeot">[1]Entgeltrechner2007!#REF!</definedName>
    <definedName name="AEOT09" localSheetId="3">#REF!</definedName>
    <definedName name="AEOT09">#REF!</definedName>
    <definedName name="aeotv" localSheetId="3">[1]Entgeltrechner2007!#REF!</definedName>
    <definedName name="aeotv">[1]Entgeltrechner2007!#REF!</definedName>
    <definedName name="aeov" localSheetId="3">[1]Entgeltrechner2007!#REF!</definedName>
    <definedName name="aeov">[1]Entgeltrechner2007!#REF!</definedName>
    <definedName name="AEOV09" localSheetId="3">#REF!</definedName>
    <definedName name="AEOV09">#REF!</definedName>
    <definedName name="aeovv" localSheetId="3">[1]Entgeltrechner2007!#REF!</definedName>
    <definedName name="aeovv">[1]Entgeltrechner2007!#REF!</definedName>
    <definedName name="bm_p_ot" localSheetId="3">#REF!</definedName>
    <definedName name="bm_p_ot">#REF!</definedName>
    <definedName name="bm_p_ov" localSheetId="3">#REF!</definedName>
    <definedName name="bm_p_ov">#REF!</definedName>
    <definedName name="Brennwert" localSheetId="3">#REF!</definedName>
    <definedName name="Brennwert">#REF!</definedName>
    <definedName name="Druckbereich_1" localSheetId="3">#REF!</definedName>
    <definedName name="Druckbereich_1">#REF!</definedName>
    <definedName name="EntGelt_NWS" localSheetId="3">#REF!</definedName>
    <definedName name="EntGelt_NWS">#REF!</definedName>
    <definedName name="exp_p" localSheetId="3">#REF!</definedName>
    <definedName name="exp_p">#REF!</definedName>
    <definedName name="EXPA09" localSheetId="3">#REF!</definedName>
    <definedName name="EXPA09">#REF!</definedName>
    <definedName name="EXPARB">'[2]DLE ARBEIT'!$S$27</definedName>
    <definedName name="expc" localSheetId="3">[1]Entgeltrechner2007!#REF!</definedName>
    <definedName name="expc">[1]Entgeltrechner2007!#REF!</definedName>
    <definedName name="expcv" localSheetId="3">[1]Entgeltrechner2007!#REF!</definedName>
    <definedName name="expcv">[1]Entgeltrechner2007!#REF!</definedName>
    <definedName name="expd" localSheetId="3">[1]Entgeltrechner2007!#REF!</definedName>
    <definedName name="expd">[1]Entgeltrechner2007!#REF!</definedName>
    <definedName name="expdv" localSheetId="3">[1]Entgeltrechner2007!#REF!</definedName>
    <definedName name="expdv">[1]Entgeltrechner2007!#REF!</definedName>
    <definedName name="EXPL09" localSheetId="3">#REF!</definedName>
    <definedName name="EXPL09">#REF!</definedName>
    <definedName name="EXPLSTG">'[3]DLE Leistung'!$S$27</definedName>
    <definedName name="hwa" localSheetId="3">[1]Entgeltrechner2007!#REF!</definedName>
    <definedName name="hwa">[1]Entgeltrechner2007!#REF!</definedName>
    <definedName name="hwav" localSheetId="3">[1]Entgeltrechner2007!#REF!</definedName>
    <definedName name="hwav">[1]Entgeltrechner2007!#REF!</definedName>
    <definedName name="hwl" localSheetId="3">[1]Entgeltrechner2007!#REF!</definedName>
    <definedName name="hwl">[1]Entgeltrechner2007!#REF!</definedName>
    <definedName name="hwlv" localSheetId="3">[1]Entgeltrechner2007!#REF!</definedName>
    <definedName name="hwlv">[1]Entgeltrechner2007!#REF!</definedName>
    <definedName name="leot" localSheetId="3">[1]Entgeltrechner2007!#REF!</definedName>
    <definedName name="leot">[1]Entgeltrechner2007!#REF!</definedName>
    <definedName name="LEOTM09" localSheetId="3">#REF!</definedName>
    <definedName name="LEOTM09">#REF!</definedName>
    <definedName name="LEOTO09" localSheetId="3">#REF!</definedName>
    <definedName name="LEOTO09">#REF!</definedName>
    <definedName name="leotv" localSheetId="3">[1]Entgeltrechner2007!#REF!</definedName>
    <definedName name="leotv">[1]Entgeltrechner2007!#REF!</definedName>
    <definedName name="leov" localSheetId="3">[1]Entgeltrechner2007!#REF!</definedName>
    <definedName name="leov">[1]Entgeltrechner2007!#REF!</definedName>
    <definedName name="LEOV09" localSheetId="3">#REF!</definedName>
    <definedName name="LEOV09">#REF!</definedName>
    <definedName name="leovv" localSheetId="3">[1]Entgeltrechner2007!#REF!</definedName>
    <definedName name="leovv">[1]Entgeltrechner2007!#REF!</definedName>
    <definedName name="LEspez" localSheetId="3">[1]Preisblatt_VV2!#REF!</definedName>
    <definedName name="LEspez">[1]Preisblatt_VV2!#REF!</definedName>
    <definedName name="MDLJA">'[4]Verprobung MAM'!$G$40</definedName>
    <definedName name="MDLMO">'[4]Verprobung MAM'!$G$41</definedName>
    <definedName name="pot" localSheetId="3">#REF!</definedName>
    <definedName name="pot">#REF!</definedName>
    <definedName name="potd" localSheetId="3">#REF!</definedName>
    <definedName name="potd">#REF!</definedName>
    <definedName name="potnp" localSheetId="3">#REF!</definedName>
    <definedName name="potnp">#REF!</definedName>
    <definedName name="pov" localSheetId="3">#REF!</definedName>
    <definedName name="pov">#REF!</definedName>
    <definedName name="Print_Area" localSheetId="0">Entgeltrechner2019_inklVNB!$A$1:$H$139</definedName>
    <definedName name="Print_Titles" localSheetId="0">Entgeltrechner2019_inklVNB!$1:$2</definedName>
    <definedName name="pst" localSheetId="3">#REF!</definedName>
    <definedName name="pst">#REF!</definedName>
    <definedName name="pwp" localSheetId="3">#REF!</definedName>
    <definedName name="pwp">#REF!</definedName>
    <definedName name="wot" localSheetId="3">#REF!</definedName>
    <definedName name="wot">#REF!</definedName>
    <definedName name="wov" localSheetId="3">#REF!</definedName>
    <definedName name="wov">#REF!</definedName>
    <definedName name="wp_p" localSheetId="3">#REF!</definedName>
    <definedName name="wp_p">#REF!</definedName>
    <definedName name="wst" localSheetId="3">#REF!</definedName>
    <definedName name="wst">#REF!</definedName>
    <definedName name="wwp" localSheetId="3">#REF!</definedName>
    <definedName name="wwp">#REF!</definedName>
    <definedName name="Z_2F2906FD_A594_42FF_825D_21A69F4D3CD5_.wvu.Cols" localSheetId="0" hidden="1">Entgeltrechner2019_inklVNB!$J:$XFD</definedName>
    <definedName name="Z_2F2906FD_A594_42FF_825D_21A69F4D3CD5_.wvu.PrintArea" localSheetId="0" hidden="1">Entgeltrechner2019_inklVNB!$A$1:$H$139</definedName>
    <definedName name="Z_2F2906FD_A594_42FF_825D_21A69F4D3CD5_.wvu.PrintTitles" localSheetId="0" hidden="1">Entgeltrechner2019_inklVNB!$1:$2</definedName>
    <definedName name="Z_2F2906FD_A594_42FF_825D_21A69F4D3CD5_.wvu.Rows" localSheetId="0" hidden="1">Entgeltrechner2019_inklVNB!$73:$1048576,Entgeltrechner2019_inklVNB!$25:$30,Entgeltrechner2019_inklVNB!$34:$39,Entgeltrechner2019_inklVNB!$67:$72</definedName>
    <definedName name="Zaehler">Messtechnik!$B$6:$B$19</definedName>
  </definedNames>
  <calcPr calcId="145621"/>
  <customWorkbookViews>
    <customWorkbookView name="Pfaff Thomas - Persönliche Ansicht" guid="{2F2906FD-A594-42FF-825D-21A69F4D3CD5}" mergeInterval="0" personalView="1" maximized="1" windowWidth="1920" windowHeight="985" activeSheetId="7"/>
  </customWorkbookViews>
</workbook>
</file>

<file path=xl/calcChain.xml><?xml version="1.0" encoding="utf-8"?>
<calcChain xmlns="http://schemas.openxmlformats.org/spreadsheetml/2006/main">
  <c r="C57" i="1" l="1"/>
  <c r="D25" i="3" l="1"/>
  <c r="D58" i="1"/>
  <c r="B25" i="3"/>
  <c r="B24" i="3"/>
  <c r="B23" i="3"/>
  <c r="F7" i="1"/>
  <c r="D47" i="1"/>
  <c r="D57" i="1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I58" i="1" l="1"/>
  <c r="G58" i="1" s="1"/>
  <c r="G57" i="1"/>
  <c r="G53" i="1" l="1"/>
  <c r="D24" i="7" l="1"/>
  <c r="D23" i="7"/>
  <c r="D22" i="7"/>
  <c r="D21" i="7"/>
  <c r="D20" i="7"/>
  <c r="D19" i="7"/>
  <c r="D18" i="7"/>
  <c r="D17" i="7"/>
  <c r="D16" i="7"/>
  <c r="D14" i="7"/>
  <c r="D13" i="7"/>
  <c r="C43" i="7" l="1"/>
  <c r="M13" i="7"/>
  <c r="M17" i="7" s="1"/>
  <c r="M18" i="7" s="1"/>
  <c r="F43" i="7"/>
  <c r="G43" i="7" l="1"/>
  <c r="M14" i="7"/>
  <c r="G2" i="7" l="1"/>
  <c r="G7" i="1" l="1"/>
  <c r="C36" i="7" l="1"/>
  <c r="C38" i="7"/>
  <c r="D15" i="7"/>
  <c r="B30" i="7"/>
  <c r="B32" i="7"/>
  <c r="B34" i="7"/>
  <c r="C34" i="7"/>
  <c r="B36" i="7"/>
  <c r="B38" i="7"/>
  <c r="B40" i="7"/>
  <c r="B42" i="7"/>
  <c r="C42" i="7"/>
  <c r="B45" i="7"/>
  <c r="B47" i="7"/>
  <c r="C47" i="7"/>
  <c r="D47" i="7"/>
  <c r="E47" i="7"/>
  <c r="F47" i="7"/>
  <c r="B49" i="7"/>
  <c r="B51" i="7"/>
  <c r="C51" i="7"/>
  <c r="B53" i="7"/>
  <c r="F24" i="7"/>
  <c r="F23" i="7"/>
  <c r="F22" i="7"/>
  <c r="F21" i="7"/>
  <c r="F20" i="7"/>
  <c r="F19" i="7"/>
  <c r="F18" i="7"/>
  <c r="F17" i="7"/>
  <c r="F16" i="7"/>
  <c r="F15" i="7"/>
  <c r="F14" i="7"/>
  <c r="F13" i="7"/>
  <c r="D42" i="7" l="1"/>
  <c r="D25" i="1" l="1"/>
  <c r="D27" i="1" s="1"/>
  <c r="B16" i="1" l="1"/>
  <c r="D16" i="1" s="1"/>
  <c r="D26" i="1"/>
  <c r="D34" i="1"/>
  <c r="G51" i="1"/>
  <c r="G38" i="7" l="1"/>
  <c r="D35" i="1"/>
  <c r="D38" i="1"/>
  <c r="D29" i="1"/>
  <c r="D30" i="1" s="1"/>
  <c r="F64" i="1"/>
  <c r="D39" i="1" l="1"/>
  <c r="G42" i="7"/>
  <c r="G62" i="1" l="1"/>
  <c r="G47" i="7" l="1"/>
  <c r="G47" i="1" l="1"/>
  <c r="G34" i="7" l="1"/>
  <c r="G49" i="1" l="1"/>
  <c r="G36" i="7" l="1"/>
  <c r="G51" i="7" l="1"/>
  <c r="D36" i="1" l="1"/>
  <c r="M15" i="7"/>
  <c r="M16" i="7"/>
  <c r="O20" i="7" l="1"/>
  <c r="E8" i="7" s="1"/>
  <c r="G16" i="7" s="1"/>
  <c r="E16" i="1"/>
  <c r="F16" i="1" s="1"/>
  <c r="G22" i="7" l="1"/>
  <c r="G19" i="7"/>
  <c r="G18" i="7"/>
  <c r="G24" i="7"/>
  <c r="G14" i="7"/>
  <c r="G17" i="7"/>
  <c r="G21" i="7"/>
  <c r="G15" i="7"/>
  <c r="G20" i="7"/>
  <c r="G13" i="7"/>
  <c r="G23" i="7"/>
  <c r="D37" i="1"/>
  <c r="F41" i="1" s="1"/>
  <c r="G41" i="1" l="1"/>
  <c r="G26" i="7"/>
  <c r="D28" i="1"/>
  <c r="F32" i="1" s="1"/>
  <c r="G43" i="1" s="1"/>
  <c r="G28" i="7" l="1"/>
  <c r="G69" i="1" l="1"/>
  <c r="G30" i="7"/>
  <c r="G53" i="7" s="1"/>
  <c r="F30" i="7"/>
  <c r="C16" i="1" l="1"/>
  <c r="G18" i="1" s="1"/>
  <c r="G64" i="1" s="1"/>
  <c r="G68" i="1" l="1"/>
</calcChain>
</file>

<file path=xl/sharedStrings.xml><?xml version="1.0" encoding="utf-8"?>
<sst xmlns="http://schemas.openxmlformats.org/spreadsheetml/2006/main" count="253" uniqueCount="144">
  <si>
    <t>GP</t>
  </si>
  <si>
    <t>Restmenge</t>
  </si>
  <si>
    <t>AP</t>
  </si>
  <si>
    <t>AE</t>
  </si>
  <si>
    <t>Summe</t>
  </si>
  <si>
    <t>abgegolten</t>
  </si>
  <si>
    <t>Leistungsbereich</t>
  </si>
  <si>
    <t>Leistungspreis</t>
  </si>
  <si>
    <t>(M)</t>
  </si>
  <si>
    <t>i</t>
  </si>
  <si>
    <t>von kWh</t>
  </si>
  <si>
    <t>bis kWh</t>
  </si>
  <si>
    <t>€/kWh/h</t>
  </si>
  <si>
    <t>Jahresarbeit</t>
  </si>
  <si>
    <t>Arbeitspreis</t>
  </si>
  <si>
    <t>ct/kWh</t>
  </si>
  <si>
    <t>kWh/h/a</t>
  </si>
  <si>
    <t>kWh</t>
  </si>
  <si>
    <t>Zählergröße</t>
  </si>
  <si>
    <t>SLP</t>
  </si>
  <si>
    <t>RLM</t>
  </si>
  <si>
    <t>G4</t>
  </si>
  <si>
    <t>G6</t>
  </si>
  <si>
    <t>G10</t>
  </si>
  <si>
    <t>G16</t>
  </si>
  <si>
    <t>G25</t>
  </si>
  <si>
    <t>G40</t>
  </si>
  <si>
    <t>G65</t>
  </si>
  <si>
    <t>G100</t>
  </si>
  <si>
    <t>G160</t>
  </si>
  <si>
    <t>G250</t>
  </si>
  <si>
    <t>G400</t>
  </si>
  <si>
    <t>G650</t>
  </si>
  <si>
    <t>G1000</t>
  </si>
  <si>
    <t>G1600</t>
  </si>
  <si>
    <t>Zählerfernauslesung</t>
  </si>
  <si>
    <t>Zähler</t>
  </si>
  <si>
    <t>Meßdienstleistung</t>
  </si>
  <si>
    <t>Messung</t>
  </si>
  <si>
    <t>G2500</t>
  </si>
  <si>
    <t>Mengenumwerter</t>
  </si>
  <si>
    <t>Tarifgerät</t>
  </si>
  <si>
    <t>Tabelle 5: Entgelte für Messung</t>
  </si>
  <si>
    <t>(Zähldaten und Meßstellenbetrieb)</t>
  </si>
  <si>
    <t>Zone</t>
  </si>
  <si>
    <t>Vorzonenpreis</t>
  </si>
  <si>
    <t>Arbeitspreis für
die Restmenge</t>
  </si>
  <si>
    <t>€/a</t>
  </si>
  <si>
    <t>kWh/h</t>
  </si>
  <si>
    <t>Zähldatenerfassung</t>
  </si>
  <si>
    <t>2.5 Preise für Sonderleistungen</t>
  </si>
  <si>
    <t>Preise für Sonderleistungen - Zähldatenerfassung</t>
  </si>
  <si>
    <t xml:space="preserve">Anzahl Abrechnungen pro Jahr: </t>
  </si>
  <si>
    <t>Telefonanschluß - kostenlos durch Kunde</t>
  </si>
  <si>
    <t>im Vorzonenpreis
abgegoltenen Jahresarbeit</t>
  </si>
  <si>
    <t>im Vorzonenpreis
abgegoltene Leistung</t>
  </si>
  <si>
    <t>von kW</t>
  </si>
  <si>
    <t>bis kW</t>
  </si>
  <si>
    <t>Preiszone</t>
  </si>
  <si>
    <t>abgeg. Arbeitsmenge</t>
  </si>
  <si>
    <t>Arbeitsentgelt</t>
  </si>
  <si>
    <t>( nach Standard-Lastprofil bis ca. 1,5 Mio.kWh/a oder bis ca. 500 kWh/h/a)</t>
  </si>
  <si>
    <t>Tabelle 1</t>
  </si>
  <si>
    <t>für SLP - Entnahmestellen</t>
  </si>
  <si>
    <t>Arbeitspreis für RLM-Entnahmestellen</t>
  </si>
  <si>
    <t>Leistungsspreis für RLM-Entnahmestellen</t>
  </si>
  <si>
    <t>abgeg. Leistung</t>
  </si>
  <si>
    <t>Restleistung</t>
  </si>
  <si>
    <t>Tabelle 3</t>
  </si>
  <si>
    <t>Tabelle 2</t>
  </si>
  <si>
    <t>Messstellenbetrieb</t>
  </si>
  <si>
    <t>Messdienstleistung</t>
  </si>
  <si>
    <t>Transportentgelt für SLP - Entnahmestellen (ohne Leistungsmessung)</t>
  </si>
  <si>
    <t xml:space="preserve">Entnahmestellen ohne Leistungsmessung </t>
  </si>
  <si>
    <t>Entnahmestellen mit Leistungsmessung</t>
  </si>
  <si>
    <t>Transportentgelt für RLM-Entnahmestellen</t>
  </si>
  <si>
    <t>Jahres-Höchstleistung</t>
  </si>
  <si>
    <t xml:space="preserve"> </t>
  </si>
  <si>
    <t>Preistabellen inkl. Kostenwälzung vorgel. Netze</t>
  </si>
  <si>
    <t>(ZP i)</t>
  </si>
  <si>
    <t>(M i)</t>
  </si>
  <si>
    <t>(AP i)</t>
  </si>
  <si>
    <t>nur für SLP</t>
  </si>
  <si>
    <t>Arbeitsentgelt RLM</t>
  </si>
  <si>
    <t>Leistungsentgelt RLM</t>
  </si>
  <si>
    <t>Nein</t>
  </si>
  <si>
    <t xml:space="preserve">   </t>
  </si>
  <si>
    <t>Kostenvergleich</t>
  </si>
  <si>
    <t>Berechnungsbasis (Eingaben bitte in die grauen Felder)</t>
  </si>
  <si>
    <t>monatliche manuelle Auslesung vor Ort</t>
  </si>
  <si>
    <t>Ablesekarte je Abrechnung</t>
  </si>
  <si>
    <t>Jahres-
Höchstleistung</t>
  </si>
  <si>
    <t>Monat</t>
  </si>
  <si>
    <t>LP</t>
  </si>
  <si>
    <t>€/Mo</t>
  </si>
  <si>
    <t>Jan</t>
  </si>
  <si>
    <t>Feb</t>
  </si>
  <si>
    <t>Mrz</t>
  </si>
  <si>
    <t>Apr</t>
  </si>
  <si>
    <t>1/12</t>
  </si>
  <si>
    <t>Mai</t>
  </si>
  <si>
    <t>Jun</t>
  </si>
  <si>
    <t>Jul</t>
  </si>
  <si>
    <t>Aug</t>
  </si>
  <si>
    <t>Sep</t>
  </si>
  <si>
    <t>Okt</t>
  </si>
  <si>
    <t>Nov</t>
  </si>
  <si>
    <t>Dez</t>
  </si>
  <si>
    <t>Unterjährige Netznutzung</t>
  </si>
  <si>
    <t>gemessene Leistung</t>
  </si>
  <si>
    <t>Summe Leistungsentgelt</t>
  </si>
  <si>
    <t>spezifischer Leistungspreis gem. Preisblatt</t>
  </si>
  <si>
    <t>Berechnung der unterjährigen Netznutzung anhand der im Entgeltrechner ermittelten Daten aus Jahresarbeit und</t>
  </si>
  <si>
    <t>In die gelben Felder unten die monatlich gemessene Höchstlast eintragen</t>
  </si>
  <si>
    <t>der Jahreshöchstleistung</t>
  </si>
  <si>
    <t>pro Monat</t>
  </si>
  <si>
    <t>pro Ablesung pro Monat</t>
  </si>
  <si>
    <t>Zählerfernauslesung stündlich</t>
  </si>
  <si>
    <t xml:space="preserve">Jahresarbeit </t>
  </si>
  <si>
    <t>TG</t>
  </si>
  <si>
    <t>MU</t>
  </si>
  <si>
    <t>I-Mess</t>
  </si>
  <si>
    <t>anbindungsfähig</t>
  </si>
  <si>
    <t>Aufpreis für Anbindung an ein Smart-Meter-Gateway</t>
  </si>
  <si>
    <t>Gesamtkosten Netznutzung 
ohne Konzessionsabgabe</t>
  </si>
  <si>
    <t xml:space="preserve">SLP  </t>
  </si>
  <si>
    <t xml:space="preserve">RLM  </t>
  </si>
  <si>
    <t>*) nur bei Entnahmestellen mit Leistungsmessung</t>
  </si>
  <si>
    <t xml:space="preserve">Abrechnungsleistung  *) </t>
  </si>
  <si>
    <t>.</t>
  </si>
  <si>
    <t>Bereitstellung durch Messstellenbetreiber per GSM</t>
  </si>
  <si>
    <t>"Zählerfernauslesung Standard 
max. 3*täglich"</t>
  </si>
  <si>
    <t>keine Fernauslesung bei SLP</t>
  </si>
  <si>
    <t>Gültigkeit : 01.01.2019 bis 31.12.2019</t>
  </si>
  <si>
    <t>Entgeltrechner 2019</t>
  </si>
  <si>
    <r>
      <rPr>
        <u/>
        <sz val="14"/>
        <color rgb="FF4D4D60"/>
        <rFont val="DIN-Regular"/>
        <family val="2"/>
      </rPr>
      <t xml:space="preserve">inkl. </t>
    </r>
    <r>
      <rPr>
        <sz val="14"/>
        <color rgb="FF4D4D60"/>
        <rFont val="DIN-Regular"/>
        <family val="2"/>
      </rPr>
      <t>Netzentgelt vorgel. Netze</t>
    </r>
  </si>
  <si>
    <r>
      <t>Transportentgelt SLP (</t>
    </r>
    <r>
      <rPr>
        <sz val="11"/>
        <color rgb="FF4D4D60"/>
        <rFont val="DIN-Regular"/>
        <family val="2"/>
      </rPr>
      <t>Jahresabrechnung</t>
    </r>
    <r>
      <rPr>
        <sz val="14"/>
        <color rgb="FF4D4D60"/>
        <rFont val="DIN-Regular"/>
        <family val="2"/>
      </rPr>
      <t>)</t>
    </r>
  </si>
  <si>
    <r>
      <t>Transportentgelt RLM (</t>
    </r>
    <r>
      <rPr>
        <sz val="11"/>
        <color rgb="FF4D4D60"/>
        <rFont val="DIN-Regular"/>
        <family val="2"/>
      </rPr>
      <t>Jahresabrechnung - Arbeit- und Leistungsentgelt</t>
    </r>
    <r>
      <rPr>
        <sz val="14"/>
        <color rgb="FF4D4D60"/>
        <rFont val="DIN-Regular"/>
        <family val="2"/>
      </rPr>
      <t>)</t>
    </r>
  </si>
  <si>
    <r>
      <t xml:space="preserve">Gesamtkosten Netznutzung 
</t>
    </r>
    <r>
      <rPr>
        <sz val="10"/>
        <color rgb="FF4D4D60"/>
        <rFont val="DIN-Regular"/>
        <family val="2"/>
      </rPr>
      <t>ohne Konzessionsabgabe</t>
    </r>
  </si>
  <si>
    <r>
      <t>(ZP</t>
    </r>
    <r>
      <rPr>
        <vertAlign val="subscript"/>
        <sz val="10"/>
        <color rgb="FF4D4D60"/>
        <rFont val="DIN-Regular"/>
        <family val="2"/>
      </rPr>
      <t xml:space="preserve"> i</t>
    </r>
    <r>
      <rPr>
        <sz val="10"/>
        <color rgb="FF4D4D60"/>
        <rFont val="DIN-Regular"/>
        <family val="2"/>
      </rPr>
      <t>)</t>
    </r>
  </si>
  <si>
    <r>
      <t xml:space="preserve">(L </t>
    </r>
    <r>
      <rPr>
        <vertAlign val="subscript"/>
        <sz val="10"/>
        <color rgb="FF4D4D60"/>
        <rFont val="DIN-Regular"/>
        <family val="2"/>
      </rPr>
      <t>i</t>
    </r>
    <r>
      <rPr>
        <sz val="10"/>
        <color rgb="FF4D4D60"/>
        <rFont val="DIN-Regular"/>
        <family val="2"/>
      </rPr>
      <t>)</t>
    </r>
  </si>
  <si>
    <r>
      <t xml:space="preserve">(LP </t>
    </r>
    <r>
      <rPr>
        <vertAlign val="subscript"/>
        <sz val="10"/>
        <color rgb="FF4D4D60"/>
        <rFont val="DIN-Regular"/>
        <family val="2"/>
      </rPr>
      <t>i</t>
    </r>
    <r>
      <rPr>
        <sz val="10"/>
        <color rgb="FF4D4D60"/>
        <rFont val="DIN-Regular"/>
        <family val="2"/>
      </rPr>
      <t>)</t>
    </r>
  </si>
  <si>
    <r>
      <rPr>
        <u/>
        <sz val="14"/>
        <color rgb="FF4D4D60"/>
        <rFont val="DIN-Regular"/>
        <family val="2"/>
      </rPr>
      <t xml:space="preserve">inkl. </t>
    </r>
    <r>
      <rPr>
        <sz val="14"/>
        <color rgb="FF4D4D60"/>
        <rFont val="DIN-Regular"/>
        <family val="2"/>
      </rPr>
      <t xml:space="preserve">Netzentgelt vorgel. Netze  </t>
    </r>
  </si>
  <si>
    <r>
      <t xml:space="preserve">Faktor
</t>
    </r>
    <r>
      <rPr>
        <sz val="9"/>
        <color rgb="FF4D4D60"/>
        <rFont val="DIN-Regular"/>
        <family val="2"/>
      </rPr>
      <t>(anteiliger Jahresleistungspreis)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</si>
</sst>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  <numFmt numFmtId="167" formatCode="_-* #,##0\ _€_-;\-* #,##0\ _€_-;_-* &quot;-&quot;??\ _€_-;_-@_-"/>
    <numFmt numFmtId="168" formatCode="#,##0.0000\ &quot;€&quot;"/>
    <numFmt numFmtId="169" formatCode="#,##0.00\ &quot;€/a&quot;"/>
    <numFmt numFmtId="170" formatCode="_-* #,##0.0000\ _€_-;\-* #,##0.0000\ _€_-;_-* &quot;-&quot;??\ _€_-;_-@_-"/>
    <numFmt numFmtId="171" formatCode="#,###\ &quot;h/a&quot;"/>
    <numFmt numFmtId="172" formatCode="0.0000\ &quot;ct/kWh&quot;"/>
    <numFmt numFmtId="173" formatCode="#,##0&quot; kWh&quot;"/>
    <numFmt numFmtId="174" formatCode="#,##0&quot; kWh/h&quot;"/>
    <numFmt numFmtId="175" formatCode="#,##0\ &quot;kWh&quot;"/>
    <numFmt numFmtId="176" formatCode="0.0000&quot; €/kWh/h&quot;"/>
    <numFmt numFmtId="177" formatCode="_-* #,##0.00\ [$€-407]_-;\-* #,##0.00\ [$€-407]_-;_-* &quot;-&quot;??\ [$€-407]_-;_-@_-"/>
    <numFmt numFmtId="178" formatCode="_(* #,##0_);_(* \(#,##0\);_(* &quot;-&quot;??_);_(@_)"/>
    <numFmt numFmtId="179" formatCode="_-* #,##0.0000\ [$€-407]_-;\-* #,##0.0000\ [$€-407]_-;_-* &quot;-&quot;??\ [$€-407]_-;_-@_-"/>
    <numFmt numFmtId="180" formatCode="0.00000"/>
    <numFmt numFmtId="181" formatCode="_-* #,##0.0000\ [$€-407]_-;\-* #,##0.0000\ [$€-407]_-;_-* &quot;-&quot;????\ [$€-407]_-;_-@_-"/>
    <numFmt numFmtId="182" formatCode="#,###.##\ &quot;€/a&quot;"/>
    <numFmt numFmtId="183" formatCode="#,###.##\ &quot;€/Monat&quot;"/>
  </numFmts>
  <fonts count="48" x14ac:knownFonts="1">
    <font>
      <sz val="10"/>
      <name val="DIN-Regular"/>
    </font>
    <font>
      <sz val="11"/>
      <color theme="1"/>
      <name val="Calibri"/>
      <family val="2"/>
      <scheme val="minor"/>
    </font>
    <font>
      <sz val="10"/>
      <color theme="1"/>
      <name val="DIN-Regular"/>
      <family val="2"/>
    </font>
    <font>
      <sz val="10"/>
      <name val="DIN-Regular"/>
      <family val="2"/>
    </font>
    <font>
      <sz val="8"/>
      <name val="DIN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DIN-Regular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4D4D60"/>
      <name val="DIN-Regular"/>
      <family val="2"/>
    </font>
    <font>
      <sz val="10"/>
      <color rgb="FF4D4D60"/>
      <name val="DIN-Regular"/>
      <family val="2"/>
    </font>
    <font>
      <sz val="12"/>
      <color rgb="FF4D4D60"/>
      <name val="DIN-Regular"/>
      <family val="2"/>
    </font>
    <font>
      <sz val="14"/>
      <color rgb="FF4D4D60"/>
      <name val="DIN-Regular"/>
      <family val="2"/>
    </font>
    <font>
      <sz val="9"/>
      <color rgb="FF4D4D60"/>
      <name val="DIN-Regular"/>
      <family val="2"/>
    </font>
    <font>
      <sz val="24"/>
      <color rgb="FF4D4D60"/>
      <name val="DIN-Regular"/>
      <family val="2"/>
    </font>
    <font>
      <u/>
      <sz val="14"/>
      <color rgb="FF4D4D60"/>
      <name val="DIN-Regular"/>
      <family val="2"/>
    </font>
    <font>
      <u/>
      <sz val="10"/>
      <color rgb="FF4D4D60"/>
      <name val="DIN-Regular"/>
      <family val="2"/>
    </font>
    <font>
      <sz val="10"/>
      <color rgb="FFFF0000"/>
      <name val="DIN-Regular"/>
      <family val="2"/>
    </font>
    <font>
      <sz val="16"/>
      <color rgb="FF4D4D60"/>
      <name val="DIN-Regular"/>
      <family val="2"/>
    </font>
    <font>
      <b/>
      <u/>
      <sz val="12"/>
      <color rgb="FF4D4D60"/>
      <name val="DIN-Regular"/>
      <family val="2"/>
    </font>
    <font>
      <b/>
      <sz val="12"/>
      <color rgb="FF4D4D60"/>
      <name val="DIN-Regular"/>
      <family val="2"/>
    </font>
    <font>
      <sz val="8"/>
      <color rgb="FF4D4D60"/>
      <name val="DIN-Regular"/>
      <family val="2"/>
    </font>
    <font>
      <sz val="20"/>
      <color rgb="FF4D4D60"/>
      <name val="DIN-Regular"/>
      <family val="2"/>
    </font>
    <font>
      <b/>
      <sz val="14"/>
      <color rgb="FF4D4D60"/>
      <name val="DIN-Regular"/>
      <family val="2"/>
    </font>
    <font>
      <b/>
      <sz val="10"/>
      <color rgb="FF4D4D60"/>
      <name val="DIN-Regular"/>
      <family val="2"/>
    </font>
    <font>
      <b/>
      <u/>
      <sz val="10"/>
      <color rgb="FF4D4D60"/>
      <name val="DIN-Regular"/>
      <family val="2"/>
    </font>
    <font>
      <vertAlign val="subscript"/>
      <sz val="10"/>
      <color rgb="FF4D4D60"/>
      <name val="DIN-Regular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AEAEF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4C300"/>
        <bgColor indexed="64"/>
      </patternFill>
    </fill>
    <fill>
      <patternFill patternType="solid">
        <fgColor rgb="FFFECC00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medium">
        <color rgb="FF4D4D60"/>
      </left>
      <right style="medium">
        <color rgb="FF4D4D60"/>
      </right>
      <top style="medium">
        <color rgb="FF4D4D60"/>
      </top>
      <bottom style="medium">
        <color rgb="FF4D4D60"/>
      </bottom>
      <diagonal/>
    </border>
    <border>
      <left style="medium">
        <color rgb="FF4D4D60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medium">
        <color rgb="FF4D4D60"/>
      </left>
      <right style="thin">
        <color rgb="FF4D4D60"/>
      </right>
      <top style="medium">
        <color rgb="FF4D4D60"/>
      </top>
      <bottom style="thin">
        <color rgb="FF4D4D60"/>
      </bottom>
      <diagonal/>
    </border>
    <border>
      <left style="thin">
        <color rgb="FF4D4D60"/>
      </left>
      <right style="thin">
        <color rgb="FF4D4D60"/>
      </right>
      <top style="medium">
        <color rgb="FF4D4D60"/>
      </top>
      <bottom style="thin">
        <color rgb="FF4D4D60"/>
      </bottom>
      <diagonal/>
    </border>
    <border>
      <left style="thin">
        <color rgb="FF4D4D60"/>
      </left>
      <right style="medium">
        <color rgb="FF4D4D60"/>
      </right>
      <top style="medium">
        <color rgb="FF4D4D60"/>
      </top>
      <bottom style="thin">
        <color rgb="FF4D4D60"/>
      </bottom>
      <diagonal/>
    </border>
    <border>
      <left style="medium">
        <color rgb="FF4D4D60"/>
      </left>
      <right style="thin">
        <color rgb="FF4D4D60"/>
      </right>
      <top style="thin">
        <color rgb="FF4D4D60"/>
      </top>
      <bottom style="thin">
        <color rgb="FF4D4D60"/>
      </bottom>
      <diagonal/>
    </border>
    <border>
      <left style="thin">
        <color rgb="FF4D4D60"/>
      </left>
      <right style="thin">
        <color rgb="FF4D4D60"/>
      </right>
      <top style="thin">
        <color rgb="FF4D4D60"/>
      </top>
      <bottom style="thin">
        <color rgb="FF4D4D60"/>
      </bottom>
      <diagonal/>
    </border>
    <border>
      <left style="thin">
        <color rgb="FF4D4D60"/>
      </left>
      <right style="medium">
        <color rgb="FF4D4D60"/>
      </right>
      <top style="thin">
        <color rgb="FF4D4D60"/>
      </top>
      <bottom style="thin">
        <color rgb="FF4D4D60"/>
      </bottom>
      <diagonal/>
    </border>
    <border>
      <left style="medium">
        <color rgb="FF4D4D60"/>
      </left>
      <right style="thin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 style="thin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 style="medium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/>
      <top style="medium">
        <color rgb="FF4D4D60"/>
      </top>
      <bottom style="medium">
        <color rgb="FF4D4D60"/>
      </bottom>
      <diagonal/>
    </border>
    <border>
      <left/>
      <right/>
      <top style="medium">
        <color rgb="FF4D4D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D4D60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thin">
        <color rgb="FF4D4D60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medium">
        <color rgb="FF4D4D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4D4D60"/>
      </left>
      <right/>
      <top style="medium">
        <color rgb="FF4D4D60"/>
      </top>
      <bottom style="medium">
        <color rgb="FF4D4D60"/>
      </bottom>
      <diagonal/>
    </border>
    <border>
      <left/>
      <right/>
      <top style="medium">
        <color rgb="FF4D4D60"/>
      </top>
      <bottom style="medium">
        <color rgb="FF4D4D60"/>
      </bottom>
      <diagonal/>
    </border>
    <border>
      <left/>
      <right style="medium">
        <color rgb="FF4D4D60"/>
      </right>
      <top style="medium">
        <color rgb="FF4D4D60"/>
      </top>
      <bottom style="medium">
        <color rgb="FF4D4D60"/>
      </bottom>
      <diagonal/>
    </border>
    <border>
      <left/>
      <right style="thin">
        <color rgb="FF4D4D60"/>
      </right>
      <top style="medium">
        <color rgb="FF4D4D60"/>
      </top>
      <bottom/>
      <diagonal/>
    </border>
    <border>
      <left/>
      <right style="thin">
        <color rgb="FF4D4D60"/>
      </right>
      <top/>
      <bottom style="medium">
        <color rgb="FF4D4D60"/>
      </bottom>
      <diagonal/>
    </border>
    <border>
      <left style="medium">
        <color auto="1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 style="medium">
        <color auto="1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/>
      <top style="medium">
        <color rgb="FF4D4D60"/>
      </top>
      <bottom/>
      <diagonal/>
    </border>
    <border>
      <left style="thin">
        <color rgb="FF4D4D60"/>
      </left>
      <right/>
      <top/>
      <bottom style="medium">
        <color rgb="FF4D4D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4D4D60"/>
      </right>
      <top style="thin">
        <color indexed="64"/>
      </top>
      <bottom style="thin">
        <color indexed="64"/>
      </bottom>
      <diagonal/>
    </border>
    <border>
      <left style="medium">
        <color rgb="FF4D4D60"/>
      </left>
      <right style="medium">
        <color rgb="FF4D4D60"/>
      </right>
      <top/>
      <bottom style="medium">
        <color rgb="FF4D4D60"/>
      </bottom>
      <diagonal/>
    </border>
    <border>
      <left style="medium">
        <color rgb="FF4D4D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165" fontId="3" fillId="0" borderId="0" applyFont="0" applyFill="0" applyBorder="0" applyAlignment="0" applyProtection="0"/>
    <xf numFmtId="0" fontId="14" fillId="21" borderId="0" applyNumberFormat="0" applyBorder="0" applyAlignment="0" applyProtection="0"/>
    <xf numFmtId="0" fontId="12" fillId="22" borderId="4" applyNumberFormat="0" applyFont="0" applyAlignment="0" applyProtection="0"/>
    <xf numFmtId="4" fontId="23" fillId="23" borderId="1" applyNumberFormat="0" applyProtection="0">
      <alignment vertical="center"/>
    </xf>
    <xf numFmtId="4" fontId="23" fillId="23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5" fillId="3" borderId="0" applyNumberFormat="0" applyBorder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9" applyNumberForma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6" borderId="0" applyNumberFormat="0" applyBorder="0" applyAlignment="0" applyProtection="0"/>
    <xf numFmtId="0" fontId="8" fillId="20" borderId="2" applyNumberFormat="0" applyAlignment="0" applyProtection="0"/>
    <xf numFmtId="16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/>
    <xf numFmtId="165" fontId="12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12" fillId="0" borderId="0"/>
  </cellStyleXfs>
  <cellXfs count="325">
    <xf numFmtId="0" fontId="0" fillId="0" borderId="0" xfId="0"/>
    <xf numFmtId="169" fontId="30" fillId="0" borderId="0" xfId="0" applyNumberFormat="1" applyFont="1" applyFill="1" applyAlignment="1">
      <alignment vertical="center" shrinkToFit="1"/>
    </xf>
    <xf numFmtId="0" fontId="31" fillId="0" borderId="0" xfId="0" applyFont="1"/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/>
    <xf numFmtId="169" fontId="31" fillId="0" borderId="0" xfId="0" applyNumberFormat="1" applyFont="1" applyFill="1" applyAlignment="1">
      <alignment vertical="center" shrinkToFit="1"/>
    </xf>
    <xf numFmtId="0" fontId="33" fillId="0" borderId="0" xfId="51" applyFont="1" applyFill="1" applyBorder="1" applyAlignment="1">
      <alignment vertical="center"/>
    </xf>
    <xf numFmtId="0" fontId="31" fillId="0" borderId="0" xfId="51" applyFont="1" applyFill="1" applyAlignment="1">
      <alignment vertical="center"/>
    </xf>
    <xf numFmtId="0" fontId="31" fillId="0" borderId="0" xfId="51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7" fillId="0" borderId="0" xfId="63" applyFont="1" applyAlignment="1">
      <alignment vertical="center"/>
    </xf>
    <xf numFmtId="0" fontId="31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right" vertical="center"/>
    </xf>
    <xf numFmtId="178" fontId="30" fillId="28" borderId="12" xfId="32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horizontal="left" vertical="center"/>
    </xf>
    <xf numFmtId="169" fontId="39" fillId="28" borderId="50" xfId="0" applyNumberFormat="1" applyFont="1" applyFill="1" applyBorder="1" applyAlignment="1" applyProtection="1">
      <alignment horizontal="center" vertical="center" wrapText="1" shrinkToFit="1"/>
      <protection locked="0"/>
    </xf>
    <xf numFmtId="165" fontId="30" fillId="28" borderId="72" xfId="32" applyFont="1" applyFill="1" applyBorder="1" applyAlignment="1" applyProtection="1">
      <alignment horizontal="right" vertical="center" shrinkToFit="1"/>
      <protection locked="0"/>
    </xf>
    <xf numFmtId="171" fontId="31" fillId="0" borderId="0" xfId="30" applyNumberFormat="1" applyFont="1" applyFill="1" applyAlignment="1">
      <alignment vertical="center" wrapText="1"/>
    </xf>
    <xf numFmtId="169" fontId="31" fillId="0" borderId="50" xfId="0" applyNumberFormat="1" applyFont="1" applyFill="1" applyBorder="1" applyAlignment="1">
      <alignment horizontal="center" vertical="center" wrapText="1" shrinkToFit="1"/>
    </xf>
    <xf numFmtId="0" fontId="33" fillId="0" borderId="33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29" xfId="0" applyFont="1" applyFill="1" applyBorder="1" applyAlignment="1" applyProtection="1">
      <alignment vertical="center"/>
      <protection locked="0"/>
    </xf>
    <xf numFmtId="169" fontId="32" fillId="0" borderId="32" xfId="0" applyNumberFormat="1" applyFont="1" applyFill="1" applyBorder="1" applyAlignment="1">
      <alignment vertical="center" shrinkToFit="1"/>
    </xf>
    <xf numFmtId="166" fontId="31" fillId="0" borderId="14" xfId="0" applyNumberFormat="1" applyFont="1" applyFill="1" applyBorder="1" applyAlignment="1">
      <alignment horizontal="center" vertical="center"/>
    </xf>
    <xf numFmtId="166" fontId="31" fillId="0" borderId="50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64" fontId="31" fillId="0" borderId="29" xfId="48" applyFont="1" applyFill="1" applyBorder="1" applyAlignment="1">
      <alignment horizontal="center" vertical="center"/>
    </xf>
    <xf numFmtId="169" fontId="31" fillId="0" borderId="50" xfId="0" applyNumberFormat="1" applyFont="1" applyFill="1" applyBorder="1" applyAlignment="1">
      <alignment horizontal="center" vertical="center" shrinkToFit="1"/>
    </xf>
    <xf numFmtId="3" fontId="31" fillId="0" borderId="59" xfId="0" applyNumberFormat="1" applyFont="1" applyFill="1" applyBorder="1" applyAlignment="1">
      <alignment vertical="center"/>
    </xf>
    <xf numFmtId="166" fontId="31" fillId="0" borderId="59" xfId="0" applyNumberFormat="1" applyFont="1" applyFill="1" applyBorder="1" applyAlignment="1">
      <alignment vertical="center"/>
    </xf>
    <xf numFmtId="168" fontId="31" fillId="0" borderId="59" xfId="0" applyNumberFormat="1" applyFont="1" applyFill="1" applyBorder="1" applyAlignment="1">
      <alignment vertical="center"/>
    </xf>
    <xf numFmtId="164" fontId="31" fillId="0" borderId="59" xfId="48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164" fontId="31" fillId="0" borderId="0" xfId="48" applyFont="1" applyFill="1" applyBorder="1" applyAlignment="1">
      <alignment vertical="center"/>
    </xf>
    <xf numFmtId="0" fontId="40" fillId="0" borderId="69" xfId="0" applyFont="1" applyFill="1" applyBorder="1" applyAlignment="1">
      <alignment vertical="center"/>
    </xf>
    <xf numFmtId="0" fontId="40" fillId="0" borderId="70" xfId="0" applyFont="1" applyFill="1" applyBorder="1" applyAlignment="1">
      <alignment vertical="center"/>
    </xf>
    <xf numFmtId="177" fontId="40" fillId="0" borderId="59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40" fillId="0" borderId="5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7" fontId="30" fillId="0" borderId="0" xfId="32" applyNumberFormat="1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167" fontId="31" fillId="0" borderId="0" xfId="0" applyNumberFormat="1" applyFont="1" applyAlignment="1">
      <alignment horizontal="center" vertical="center"/>
    </xf>
    <xf numFmtId="167" fontId="31" fillId="0" borderId="0" xfId="32" applyNumberFormat="1" applyFont="1" applyAlignment="1">
      <alignment vertical="center"/>
    </xf>
    <xf numFmtId="177" fontId="31" fillId="0" borderId="35" xfId="48" applyNumberFormat="1" applyFont="1" applyBorder="1" applyAlignment="1">
      <alignment vertical="center"/>
    </xf>
    <xf numFmtId="177" fontId="41" fillId="0" borderId="50" xfId="26" applyNumberFormat="1" applyFont="1" applyFill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165" fontId="30" fillId="0" borderId="0" xfId="32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170" fontId="31" fillId="0" borderId="0" xfId="32" applyNumberFormat="1" applyFont="1" applyAlignment="1">
      <alignment vertical="center"/>
    </xf>
    <xf numFmtId="170" fontId="31" fillId="0" borderId="0" xfId="0" applyNumberFormat="1" applyFont="1" applyFill="1" applyAlignment="1">
      <alignment vertical="center"/>
    </xf>
    <xf numFmtId="170" fontId="31" fillId="0" borderId="0" xfId="0" applyNumberFormat="1" applyFont="1" applyAlignment="1">
      <alignment vertical="center" shrinkToFit="1"/>
    </xf>
    <xf numFmtId="182" fontId="41" fillId="0" borderId="50" xfId="26" applyNumberFormat="1" applyFont="1" applyFill="1" applyBorder="1" applyAlignment="1">
      <alignment vertical="center" shrinkToFit="1"/>
    </xf>
    <xf numFmtId="183" fontId="41" fillId="0" borderId="50" xfId="26" applyNumberFormat="1" applyFont="1" applyFill="1" applyBorder="1" applyAlignment="1">
      <alignment vertical="center" shrinkToFit="1"/>
    </xf>
    <xf numFmtId="0" fontId="33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 shrinkToFit="1"/>
    </xf>
    <xf numFmtId="0" fontId="39" fillId="28" borderId="50" xfId="0" applyFont="1" applyFill="1" applyBorder="1" applyAlignment="1" applyProtection="1">
      <alignment horizontal="center" vertical="center"/>
      <protection locked="0"/>
    </xf>
    <xf numFmtId="169" fontId="33" fillId="0" borderId="50" xfId="0" applyNumberFormat="1" applyFont="1" applyFill="1" applyBorder="1" applyAlignment="1">
      <alignment vertical="center" shrinkToFit="1"/>
    </xf>
    <xf numFmtId="169" fontId="33" fillId="0" borderId="0" xfId="0" applyNumberFormat="1" applyFont="1" applyFill="1" applyBorder="1" applyAlignment="1">
      <alignment vertical="center" shrinkToFit="1"/>
    </xf>
    <xf numFmtId="0" fontId="31" fillId="0" borderId="0" xfId="0" quotePrefix="1" applyFont="1" applyFill="1" applyAlignment="1">
      <alignment vertical="center"/>
    </xf>
    <xf numFmtId="0" fontId="39" fillId="0" borderId="50" xfId="0" applyFont="1" applyFill="1" applyBorder="1" applyAlignment="1" applyProtection="1">
      <alignment horizontal="center" vertical="center"/>
    </xf>
    <xf numFmtId="169" fontId="33" fillId="0" borderId="59" xfId="0" applyNumberFormat="1" applyFont="1" applyFill="1" applyBorder="1" applyAlignment="1">
      <alignment vertical="center" shrinkToFit="1"/>
    </xf>
    <xf numFmtId="0" fontId="42" fillId="28" borderId="59" xfId="0" applyFont="1" applyFill="1" applyBorder="1" applyAlignment="1" applyProtection="1">
      <alignment horizontal="center" vertical="center" wrapText="1"/>
      <protection locked="0"/>
    </xf>
    <xf numFmtId="169" fontId="33" fillId="0" borderId="32" xfId="0" applyNumberFormat="1" applyFont="1" applyFill="1" applyBorder="1" applyAlignment="1">
      <alignment vertical="center" shrinkToFit="1"/>
    </xf>
    <xf numFmtId="0" fontId="43" fillId="0" borderId="54" xfId="0" applyFont="1" applyFill="1" applyBorder="1" applyAlignment="1">
      <alignment horizontal="center" vertical="center"/>
    </xf>
    <xf numFmtId="169" fontId="36" fillId="0" borderId="73" xfId="0" quotePrefix="1" applyNumberFormat="1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169" fontId="36" fillId="0" borderId="0" xfId="0" quotePrefix="1" applyNumberFormat="1" applyFont="1" applyFill="1" applyBorder="1" applyAlignment="1">
      <alignment vertical="center" shrinkToFit="1"/>
    </xf>
    <xf numFmtId="0" fontId="39" fillId="0" borderId="0" xfId="0" applyFont="1" applyFill="1" applyAlignment="1">
      <alignment vertical="center"/>
    </xf>
    <xf numFmtId="0" fontId="41" fillId="0" borderId="0" xfId="41" applyFont="1" applyAlignment="1">
      <alignment vertical="center"/>
    </xf>
    <xf numFmtId="0" fontId="32" fillId="0" borderId="0" xfId="41" applyFont="1" applyAlignment="1">
      <alignment vertical="center"/>
    </xf>
    <xf numFmtId="0" fontId="32" fillId="0" borderId="0" xfId="0" applyFont="1" applyAlignment="1">
      <alignment vertical="center"/>
    </xf>
    <xf numFmtId="0" fontId="32" fillId="28" borderId="12" xfId="0" applyFont="1" applyFill="1" applyBorder="1" applyAlignment="1">
      <alignment vertical="center"/>
    </xf>
    <xf numFmtId="0" fontId="32" fillId="28" borderId="10" xfId="0" applyFont="1" applyFill="1" applyBorder="1" applyAlignment="1">
      <alignment vertical="center"/>
    </xf>
    <xf numFmtId="166" fontId="32" fillId="28" borderId="23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right" vertical="center"/>
    </xf>
    <xf numFmtId="166" fontId="32" fillId="0" borderId="15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0" fontId="32" fillId="0" borderId="22" xfId="0" applyFont="1" applyFill="1" applyBorder="1" applyAlignment="1">
      <alignment horizontal="right" vertical="center"/>
    </xf>
    <xf numFmtId="166" fontId="32" fillId="0" borderId="16" xfId="0" applyNumberFormat="1" applyFont="1" applyBorder="1" applyAlignment="1">
      <alignment vertical="center"/>
    </xf>
    <xf numFmtId="166" fontId="32" fillId="0" borderId="22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166" fontId="32" fillId="0" borderId="21" xfId="0" applyNumberFormat="1" applyFont="1" applyBorder="1" applyAlignment="1">
      <alignment vertical="center"/>
    </xf>
    <xf numFmtId="166" fontId="32" fillId="0" borderId="18" xfId="0" applyNumberFormat="1" applyFont="1" applyBorder="1" applyAlignment="1">
      <alignment vertical="center"/>
    </xf>
    <xf numFmtId="0" fontId="32" fillId="0" borderId="21" xfId="0" applyFont="1" applyFill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166" fontId="32" fillId="0" borderId="19" xfId="0" applyNumberFormat="1" applyFont="1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0" fontId="32" fillId="0" borderId="74" xfId="0" applyFont="1" applyFill="1" applyBorder="1" applyAlignment="1">
      <alignment horizontal="right" vertical="center" wrapText="1"/>
    </xf>
    <xf numFmtId="0" fontId="32" fillId="0" borderId="75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32" fillId="0" borderId="75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32" fillId="0" borderId="33" xfId="0" applyFont="1" applyFill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166" fontId="32" fillId="0" borderId="76" xfId="0" applyNumberFormat="1" applyFont="1" applyBorder="1" applyAlignment="1">
      <alignment vertical="center"/>
    </xf>
    <xf numFmtId="166" fontId="32" fillId="0" borderId="0" xfId="0" applyNumberFormat="1" applyFont="1" applyAlignment="1">
      <alignment vertical="center"/>
    </xf>
    <xf numFmtId="169" fontId="32" fillId="0" borderId="76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169" fontId="32" fillId="0" borderId="25" xfId="0" applyNumberFormat="1" applyFont="1" applyBorder="1" applyAlignment="1">
      <alignment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169" fontId="32" fillId="0" borderId="3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3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169" fontId="32" fillId="0" borderId="28" xfId="0" applyNumberFormat="1" applyFont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0" fontId="32" fillId="0" borderId="59" xfId="0" applyFont="1" applyBorder="1" applyAlignment="1">
      <alignment vertical="center"/>
    </xf>
    <xf numFmtId="0" fontId="44" fillId="28" borderId="37" xfId="0" applyFont="1" applyFill="1" applyBorder="1" applyAlignment="1">
      <alignment vertical="center"/>
    </xf>
    <xf numFmtId="0" fontId="31" fillId="28" borderId="38" xfId="0" applyFont="1" applyFill="1" applyBorder="1"/>
    <xf numFmtId="0" fontId="31" fillId="28" borderId="48" xfId="0" applyFont="1" applyFill="1" applyBorder="1"/>
    <xf numFmtId="0" fontId="44" fillId="28" borderId="3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1" fillId="0" borderId="0" xfId="0" applyFont="1" applyFill="1"/>
    <xf numFmtId="169" fontId="31" fillId="0" borderId="0" xfId="0" applyNumberFormat="1" applyFont="1" applyFill="1"/>
    <xf numFmtId="0" fontId="31" fillId="28" borderId="39" xfId="0" applyFont="1" applyFill="1" applyBorder="1" applyAlignment="1">
      <alignment horizontal="center" vertical="center"/>
    </xf>
    <xf numFmtId="0" fontId="31" fillId="28" borderId="40" xfId="0" applyFont="1" applyFill="1" applyBorder="1" applyAlignment="1">
      <alignment horizontal="center" vertical="center"/>
    </xf>
    <xf numFmtId="0" fontId="31" fillId="28" borderId="40" xfId="0" applyFont="1" applyFill="1" applyBorder="1" applyAlignment="1">
      <alignment horizontal="center" vertical="center" wrapText="1"/>
    </xf>
    <xf numFmtId="0" fontId="31" fillId="28" borderId="41" xfId="0" applyFont="1" applyFill="1" applyBorder="1" applyAlignment="1">
      <alignment horizontal="center" vertical="center" wrapText="1"/>
    </xf>
    <xf numFmtId="0" fontId="31" fillId="28" borderId="42" xfId="0" applyFont="1" applyFill="1" applyBorder="1" applyAlignment="1">
      <alignment horizontal="center" vertical="center"/>
    </xf>
    <xf numFmtId="0" fontId="31" fillId="28" borderId="43" xfId="0" applyFont="1" applyFill="1" applyBorder="1" applyAlignment="1">
      <alignment horizontal="center" vertical="center"/>
    </xf>
    <xf numFmtId="0" fontId="31" fillId="28" borderId="44" xfId="0" applyFont="1" applyFill="1" applyBorder="1" applyAlignment="1">
      <alignment horizontal="center" vertical="center"/>
    </xf>
    <xf numFmtId="0" fontId="31" fillId="28" borderId="45" xfId="0" applyFont="1" applyFill="1" applyBorder="1" applyAlignment="1">
      <alignment horizontal="center" vertical="center"/>
    </xf>
    <xf numFmtId="0" fontId="31" fillId="28" borderId="46" xfId="0" applyFont="1" applyFill="1" applyBorder="1" applyAlignment="1">
      <alignment horizontal="center" vertical="center"/>
    </xf>
    <xf numFmtId="0" fontId="31" fillId="28" borderId="47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3" fontId="34" fillId="0" borderId="40" xfId="32" applyNumberFormat="1" applyFont="1" applyBorder="1" applyAlignment="1">
      <alignment vertical="center"/>
    </xf>
    <xf numFmtId="169" fontId="34" fillId="0" borderId="40" xfId="48" applyNumberFormat="1" applyFont="1" applyBorder="1" applyAlignment="1">
      <alignment vertical="center"/>
    </xf>
    <xf numFmtId="172" fontId="34" fillId="0" borderId="41" xfId="48" applyNumberFormat="1" applyFont="1" applyBorder="1" applyAlignment="1">
      <alignment vertical="center"/>
    </xf>
    <xf numFmtId="0" fontId="34" fillId="28" borderId="42" xfId="34" applyFont="1" applyFill="1" applyBorder="1" applyAlignment="1">
      <alignment horizontal="center" vertical="center"/>
    </xf>
    <xf numFmtId="173" fontId="34" fillId="28" borderId="43" xfId="34" applyNumberFormat="1" applyFont="1" applyFill="1" applyBorder="1" applyAlignment="1">
      <alignment vertical="center"/>
    </xf>
    <xf numFmtId="169" fontId="34" fillId="28" borderId="43" xfId="34" applyNumberFormat="1" applyFont="1" applyFill="1" applyBorder="1" applyAlignment="1">
      <alignment vertical="center"/>
    </xf>
    <xf numFmtId="172" fontId="34" fillId="28" borderId="44" xfId="34" applyNumberFormat="1" applyFont="1" applyFill="1" applyBorder="1" applyAlignment="1">
      <alignment vertical="center"/>
    </xf>
    <xf numFmtId="0" fontId="34" fillId="0" borderId="42" xfId="0" applyFont="1" applyBorder="1" applyAlignment="1">
      <alignment horizontal="center" vertical="center"/>
    </xf>
    <xf numFmtId="173" fontId="34" fillId="0" borderId="43" xfId="32" applyNumberFormat="1" applyFont="1" applyBorder="1" applyAlignment="1">
      <alignment vertical="center"/>
    </xf>
    <xf numFmtId="169" fontId="34" fillId="0" borderId="43" xfId="48" applyNumberFormat="1" applyFont="1" applyBorder="1" applyAlignment="1">
      <alignment vertical="center"/>
    </xf>
    <xf numFmtId="172" fontId="34" fillId="0" borderId="44" xfId="48" applyNumberFormat="1" applyFont="1" applyBorder="1" applyAlignment="1">
      <alignment vertical="center"/>
    </xf>
    <xf numFmtId="0" fontId="34" fillId="0" borderId="45" xfId="0" applyFont="1" applyBorder="1" applyAlignment="1">
      <alignment horizontal="center" vertical="center"/>
    </xf>
    <xf numFmtId="173" fontId="34" fillId="0" borderId="46" xfId="32" applyNumberFormat="1" applyFont="1" applyBorder="1" applyAlignment="1">
      <alignment vertical="center"/>
    </xf>
    <xf numFmtId="169" fontId="34" fillId="0" borderId="46" xfId="48" applyNumberFormat="1" applyFont="1" applyBorder="1" applyAlignment="1">
      <alignment vertical="center"/>
    </xf>
    <xf numFmtId="172" fontId="34" fillId="0" borderId="47" xfId="48" applyNumberFormat="1" applyFont="1" applyBorder="1" applyAlignment="1">
      <alignment vertical="center"/>
    </xf>
    <xf numFmtId="175" fontId="34" fillId="0" borderId="40" xfId="32" applyNumberFormat="1" applyFont="1" applyBorder="1" applyAlignment="1">
      <alignment vertical="center"/>
    </xf>
    <xf numFmtId="175" fontId="34" fillId="28" borderId="43" xfId="34" applyNumberFormat="1" applyFont="1" applyFill="1" applyBorder="1" applyAlignment="1">
      <alignment vertical="center"/>
    </xf>
    <xf numFmtId="175" fontId="34" fillId="0" borderId="43" xfId="32" applyNumberFormat="1" applyFont="1" applyBorder="1" applyAlignment="1">
      <alignment vertical="center"/>
    </xf>
    <xf numFmtId="0" fontId="34" fillId="28" borderId="45" xfId="34" applyFont="1" applyFill="1" applyBorder="1" applyAlignment="1">
      <alignment horizontal="center" vertical="center"/>
    </xf>
    <xf numFmtId="175" fontId="34" fillId="28" borderId="46" xfId="34" applyNumberFormat="1" applyFont="1" applyFill="1" applyBorder="1" applyAlignment="1">
      <alignment vertical="center"/>
    </xf>
    <xf numFmtId="169" fontId="34" fillId="28" borderId="46" xfId="34" applyNumberFormat="1" applyFont="1" applyFill="1" applyBorder="1" applyAlignment="1">
      <alignment vertical="center"/>
    </xf>
    <xf numFmtId="172" fontId="34" fillId="28" borderId="47" xfId="34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1" fillId="0" borderId="39" xfId="0" applyFont="1" applyBorder="1" applyAlignment="1">
      <alignment horizontal="center" vertical="center"/>
    </xf>
    <xf numFmtId="174" fontId="31" fillId="0" borderId="40" xfId="32" applyNumberFormat="1" applyFont="1" applyBorder="1" applyAlignment="1">
      <alignment vertical="center"/>
    </xf>
    <xf numFmtId="169" fontId="31" fillId="0" borderId="40" xfId="48" applyNumberFormat="1" applyFont="1" applyBorder="1" applyAlignment="1">
      <alignment vertical="center"/>
    </xf>
    <xf numFmtId="176" fontId="31" fillId="0" borderId="41" xfId="48" applyNumberFormat="1" applyFont="1" applyBorder="1" applyAlignment="1">
      <alignment vertical="center"/>
    </xf>
    <xf numFmtId="0" fontId="31" fillId="28" borderId="42" xfId="34" applyFont="1" applyFill="1" applyBorder="1" applyAlignment="1">
      <alignment horizontal="center" vertical="center"/>
    </xf>
    <xf numFmtId="174" fontId="31" fillId="28" borderId="43" xfId="34" applyNumberFormat="1" applyFont="1" applyFill="1" applyBorder="1" applyAlignment="1">
      <alignment vertical="center"/>
    </xf>
    <xf numFmtId="169" fontId="31" fillId="28" borderId="43" xfId="34" applyNumberFormat="1" applyFont="1" applyFill="1" applyBorder="1" applyAlignment="1">
      <alignment vertical="center"/>
    </xf>
    <xf numFmtId="176" fontId="31" fillId="28" borderId="44" xfId="48" applyNumberFormat="1" applyFont="1" applyFill="1" applyBorder="1" applyAlignment="1">
      <alignment vertical="center"/>
    </xf>
    <xf numFmtId="0" fontId="31" fillId="0" borderId="42" xfId="0" applyFont="1" applyBorder="1" applyAlignment="1">
      <alignment horizontal="center" vertical="center"/>
    </xf>
    <xf numFmtId="174" fontId="31" fillId="0" borderId="43" xfId="32" applyNumberFormat="1" applyFont="1" applyBorder="1" applyAlignment="1">
      <alignment vertical="center"/>
    </xf>
    <xf numFmtId="169" fontId="31" fillId="0" borderId="43" xfId="48" applyNumberFormat="1" applyFont="1" applyBorder="1" applyAlignment="1">
      <alignment vertical="center"/>
    </xf>
    <xf numFmtId="176" fontId="31" fillId="0" borderId="44" xfId="48" applyNumberFormat="1" applyFont="1" applyBorder="1" applyAlignment="1">
      <alignment vertical="center"/>
    </xf>
    <xf numFmtId="0" fontId="31" fillId="28" borderId="45" xfId="34" applyFont="1" applyFill="1" applyBorder="1" applyAlignment="1">
      <alignment horizontal="center" vertical="center"/>
    </xf>
    <xf numFmtId="174" fontId="31" fillId="28" borderId="46" xfId="34" applyNumberFormat="1" applyFont="1" applyFill="1" applyBorder="1" applyAlignment="1">
      <alignment vertical="center"/>
    </xf>
    <xf numFmtId="169" fontId="31" fillId="28" borderId="46" xfId="34" applyNumberFormat="1" applyFont="1" applyFill="1" applyBorder="1" applyAlignment="1">
      <alignment vertical="center"/>
    </xf>
    <xf numFmtId="176" fontId="31" fillId="28" borderId="47" xfId="48" applyNumberFormat="1" applyFont="1" applyFill="1" applyBorder="1" applyAlignment="1">
      <alignment vertical="center"/>
    </xf>
    <xf numFmtId="0" fontId="35" fillId="28" borderId="10" xfId="51" applyFont="1" applyFill="1" applyBorder="1" applyAlignment="1" applyProtection="1">
      <alignment vertical="center"/>
    </xf>
    <xf numFmtId="0" fontId="35" fillId="28" borderId="11" xfId="51" applyFont="1" applyFill="1" applyBorder="1" applyAlignment="1" applyProtection="1">
      <alignment vertical="center"/>
    </xf>
    <xf numFmtId="0" fontId="35" fillId="28" borderId="23" xfId="5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Protection="1"/>
    <xf numFmtId="0" fontId="33" fillId="0" borderId="0" xfId="51" applyFont="1" applyFill="1" applyBorder="1" applyAlignment="1" applyProtection="1">
      <alignment vertical="center"/>
    </xf>
    <xf numFmtId="0" fontId="31" fillId="0" borderId="0" xfId="51" applyFont="1" applyFill="1" applyAlignment="1" applyProtection="1">
      <alignment vertical="center"/>
    </xf>
    <xf numFmtId="0" fontId="31" fillId="0" borderId="0" xfId="5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right" vertical="center"/>
    </xf>
    <xf numFmtId="0" fontId="31" fillId="33" borderId="0" xfId="0" applyFont="1" applyFill="1" applyAlignment="1" applyProtection="1">
      <alignment vertical="center"/>
    </xf>
    <xf numFmtId="0" fontId="31" fillId="28" borderId="65" xfId="0" applyFont="1" applyFill="1" applyBorder="1" applyAlignment="1" applyProtection="1">
      <alignment vertical="center"/>
    </xf>
    <xf numFmtId="0" fontId="31" fillId="28" borderId="38" xfId="0" applyFont="1" applyFill="1" applyBorder="1" applyAlignment="1" applyProtection="1">
      <alignment vertical="center"/>
    </xf>
    <xf numFmtId="0" fontId="31" fillId="28" borderId="66" xfId="0" applyFont="1" applyFill="1" applyBorder="1" applyAlignment="1" applyProtection="1">
      <alignment vertical="center"/>
    </xf>
    <xf numFmtId="179" fontId="30" fillId="28" borderId="65" xfId="0" applyNumberFormat="1" applyFont="1" applyFill="1" applyBorder="1" applyAlignment="1" applyProtection="1">
      <alignment horizontal="right" vertical="center"/>
    </xf>
    <xf numFmtId="0" fontId="30" fillId="28" borderId="66" xfId="0" applyFont="1" applyFill="1" applyBorder="1" applyAlignment="1" applyProtection="1">
      <alignment vertical="center"/>
    </xf>
    <xf numFmtId="0" fontId="30" fillId="28" borderId="40" xfId="0" applyFont="1" applyFill="1" applyBorder="1" applyAlignment="1" applyProtection="1">
      <alignment horizontal="center" vertical="center" wrapText="1"/>
    </xf>
    <xf numFmtId="0" fontId="30" fillId="28" borderId="41" xfId="0" applyFont="1" applyFill="1" applyBorder="1" applyAlignment="1" applyProtection="1">
      <alignment horizontal="center" vertical="center"/>
    </xf>
    <xf numFmtId="0" fontId="30" fillId="28" borderId="46" xfId="0" applyFont="1" applyFill="1" applyBorder="1" applyAlignment="1" applyProtection="1">
      <alignment horizontal="center" vertical="center"/>
    </xf>
    <xf numFmtId="0" fontId="30" fillId="28" borderId="47" xfId="0" applyFont="1" applyFill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center" vertical="center"/>
    </xf>
    <xf numFmtId="167" fontId="30" fillId="33" borderId="39" xfId="32" applyNumberFormat="1" applyFont="1" applyFill="1" applyBorder="1" applyAlignment="1" applyProtection="1">
      <alignment horizontal="right" vertical="center"/>
      <protection locked="0"/>
    </xf>
    <xf numFmtId="167" fontId="30" fillId="0" borderId="40" xfId="32" applyNumberFormat="1" applyFont="1" applyBorder="1" applyAlignment="1" applyProtection="1">
      <alignment horizontal="right" vertical="center"/>
    </xf>
    <xf numFmtId="12" fontId="30" fillId="0" borderId="40" xfId="0" applyNumberFormat="1" applyFont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right" vertical="center"/>
    </xf>
    <xf numFmtId="165" fontId="30" fillId="0" borderId="41" xfId="32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7" fontId="30" fillId="0" borderId="0" xfId="32" applyNumberFormat="1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181" fontId="31" fillId="0" borderId="0" xfId="0" applyNumberFormat="1" applyFont="1" applyProtection="1"/>
    <xf numFmtId="0" fontId="30" fillId="0" borderId="43" xfId="0" applyFont="1" applyBorder="1" applyAlignment="1" applyProtection="1">
      <alignment horizontal="center" vertical="center"/>
    </xf>
    <xf numFmtId="167" fontId="30" fillId="33" borderId="42" xfId="32" applyNumberFormat="1" applyFont="1" applyFill="1" applyBorder="1" applyAlignment="1" applyProtection="1">
      <alignment horizontal="right" vertical="center"/>
      <protection locked="0"/>
    </xf>
    <xf numFmtId="167" fontId="30" fillId="0" borderId="43" xfId="32" applyNumberFormat="1" applyFont="1" applyBorder="1" applyAlignment="1" applyProtection="1">
      <alignment horizontal="right" vertical="center"/>
    </xf>
    <xf numFmtId="12" fontId="30" fillId="0" borderId="43" xfId="0" applyNumberFormat="1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right" vertical="center"/>
    </xf>
    <xf numFmtId="165" fontId="30" fillId="0" borderId="44" xfId="32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180" fontId="30" fillId="0" borderId="43" xfId="0" applyNumberFormat="1" applyFont="1" applyBorder="1" applyAlignment="1" applyProtection="1">
      <alignment horizontal="right" vertical="center"/>
    </xf>
    <xf numFmtId="170" fontId="31" fillId="0" borderId="0" xfId="32" applyNumberFormat="1" applyFont="1" applyAlignment="1" applyProtection="1">
      <alignment vertical="center"/>
    </xf>
    <xf numFmtId="170" fontId="31" fillId="0" borderId="0" xfId="0" applyNumberFormat="1" applyFont="1" applyFill="1" applyAlignment="1" applyProtection="1">
      <alignment vertical="center"/>
    </xf>
    <xf numFmtId="177" fontId="31" fillId="0" borderId="0" xfId="48" applyNumberFormat="1" applyFont="1" applyBorder="1" applyAlignment="1" applyProtection="1">
      <alignment vertical="center"/>
    </xf>
    <xf numFmtId="167" fontId="31" fillId="0" borderId="0" xfId="32" applyNumberFormat="1" applyFont="1" applyAlignment="1" applyProtection="1">
      <alignment vertical="center"/>
    </xf>
    <xf numFmtId="0" fontId="31" fillId="0" borderId="0" xfId="0" applyFont="1" applyFill="1" applyAlignment="1" applyProtection="1">
      <alignment vertical="center" shrinkToFit="1"/>
    </xf>
    <xf numFmtId="164" fontId="32" fillId="0" borderId="50" xfId="26" applyNumberFormat="1" applyFont="1" applyFill="1" applyBorder="1" applyAlignment="1" applyProtection="1">
      <alignment vertical="center" shrinkToFit="1"/>
    </xf>
    <xf numFmtId="0" fontId="30" fillId="0" borderId="46" xfId="0" applyFont="1" applyBorder="1" applyAlignment="1" applyProtection="1">
      <alignment horizontal="center" vertical="center"/>
    </xf>
    <xf numFmtId="167" fontId="30" fillId="33" borderId="45" xfId="32" applyNumberFormat="1" applyFont="1" applyFill="1" applyBorder="1" applyAlignment="1" applyProtection="1">
      <alignment horizontal="right" vertical="center"/>
      <protection locked="0"/>
    </xf>
    <xf numFmtId="167" fontId="30" fillId="0" borderId="46" xfId="32" applyNumberFormat="1" applyFont="1" applyBorder="1" applyAlignment="1" applyProtection="1">
      <alignment horizontal="right" vertical="center"/>
    </xf>
    <xf numFmtId="12" fontId="30" fillId="0" borderId="46" xfId="0" applyNumberFormat="1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right" vertical="center"/>
    </xf>
    <xf numFmtId="165" fontId="30" fillId="0" borderId="47" xfId="32" applyFont="1" applyBorder="1" applyAlignment="1" applyProtection="1">
      <alignment horizontal="center" vertical="center"/>
    </xf>
    <xf numFmtId="164" fontId="32" fillId="0" borderId="50" xfId="26" applyNumberFormat="1" applyFont="1" applyFill="1" applyBorder="1" applyAlignment="1" applyProtection="1">
      <alignment horizontal="center" vertical="center" shrinkToFit="1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164" fontId="33" fillId="0" borderId="50" xfId="26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Alignment="1" applyProtection="1">
      <alignment horizontal="center" vertical="center"/>
    </xf>
    <xf numFmtId="181" fontId="33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vertical="center"/>
    </xf>
    <xf numFmtId="49" fontId="31" fillId="0" borderId="0" xfId="0" applyNumberFormat="1" applyFont="1" applyFill="1" applyAlignment="1" applyProtection="1">
      <alignment vertical="center"/>
    </xf>
    <xf numFmtId="0" fontId="33" fillId="0" borderId="26" xfId="0" applyFont="1" applyFill="1" applyBorder="1" applyAlignment="1" applyProtection="1">
      <alignment vertical="center"/>
    </xf>
    <xf numFmtId="0" fontId="30" fillId="0" borderId="27" xfId="0" applyFont="1" applyFill="1" applyBorder="1" applyAlignment="1" applyProtection="1">
      <alignment vertical="center"/>
    </xf>
    <xf numFmtId="169" fontId="30" fillId="0" borderId="0" xfId="0" applyNumberFormat="1" applyFont="1" applyFill="1" applyAlignment="1" applyProtection="1">
      <alignment horizontal="right" vertical="center" shrinkToFit="1"/>
    </xf>
    <xf numFmtId="169" fontId="31" fillId="0" borderId="0" xfId="0" applyNumberFormat="1" applyFont="1" applyFill="1" applyAlignment="1" applyProtection="1">
      <alignment vertical="center" shrinkToFit="1"/>
    </xf>
    <xf numFmtId="0" fontId="33" fillId="28" borderId="50" xfId="0" applyFont="1" applyFill="1" applyBorder="1" applyAlignment="1" applyProtection="1">
      <alignment horizontal="center" vertical="center"/>
    </xf>
    <xf numFmtId="169" fontId="33" fillId="0" borderId="50" xfId="0" applyNumberFormat="1" applyFont="1" applyFill="1" applyBorder="1" applyAlignment="1" applyProtection="1">
      <alignment vertical="center" shrinkToFit="1"/>
    </xf>
    <xf numFmtId="0" fontId="31" fillId="0" borderId="0" xfId="0" quotePrefix="1" applyFont="1" applyFill="1" applyAlignment="1" applyProtection="1">
      <alignment vertical="center"/>
    </xf>
    <xf numFmtId="0" fontId="42" fillId="28" borderId="59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169" fontId="33" fillId="0" borderId="32" xfId="0" applyNumberFormat="1" applyFont="1" applyFill="1" applyBorder="1" applyAlignment="1" applyProtection="1">
      <alignment vertical="center" shrinkToFit="1"/>
    </xf>
    <xf numFmtId="169" fontId="30" fillId="0" borderId="0" xfId="0" applyNumberFormat="1" applyFont="1" applyFill="1" applyAlignment="1" applyProtection="1">
      <alignment vertical="center" shrinkToFit="1"/>
    </xf>
    <xf numFmtId="164" fontId="31" fillId="0" borderId="0" xfId="0" applyNumberFormat="1" applyFont="1" applyFill="1" applyAlignment="1" applyProtection="1">
      <alignment vertical="center"/>
    </xf>
    <xf numFmtId="169" fontId="36" fillId="0" borderId="32" xfId="0" quotePrefix="1" applyNumberFormat="1" applyFont="1" applyFill="1" applyBorder="1" applyAlignment="1" applyProtection="1">
      <alignment vertical="center" shrinkToFit="1"/>
    </xf>
    <xf numFmtId="4" fontId="31" fillId="0" borderId="0" xfId="0" applyNumberFormat="1" applyFont="1" applyFill="1" applyAlignment="1" applyProtection="1">
      <alignment vertical="center"/>
    </xf>
    <xf numFmtId="164" fontId="31" fillId="0" borderId="0" xfId="0" applyNumberFormat="1" applyFont="1" applyProtection="1"/>
    <xf numFmtId="0" fontId="31" fillId="0" borderId="0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5" fillId="32" borderId="60" xfId="51" applyFont="1" applyFill="1" applyBorder="1" applyAlignment="1">
      <alignment horizontal="left" vertical="center"/>
    </xf>
    <xf numFmtId="0" fontId="35" fillId="32" borderId="61" xfId="51" applyFont="1" applyFill="1" applyBorder="1" applyAlignment="1">
      <alignment horizontal="left" vertical="center"/>
    </xf>
    <xf numFmtId="0" fontId="35" fillId="32" borderId="62" xfId="51" applyFont="1" applyFill="1" applyBorder="1" applyAlignment="1">
      <alignment horizontal="left" vertical="center"/>
    </xf>
    <xf numFmtId="0" fontId="43" fillId="0" borderId="51" xfId="0" applyFont="1" applyFill="1" applyBorder="1" applyAlignment="1">
      <alignment horizontal="left" vertical="center" wrapText="1"/>
    </xf>
    <xf numFmtId="0" fontId="43" fillId="0" borderId="52" xfId="0" applyFont="1" applyFill="1" applyBorder="1" applyAlignment="1">
      <alignment horizontal="left" vertical="center" wrapText="1"/>
    </xf>
    <xf numFmtId="0" fontId="38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2" fillId="28" borderId="57" xfId="0" applyFont="1" applyFill="1" applyBorder="1" applyAlignment="1" applyProtection="1">
      <alignment horizontal="left" vertical="center"/>
      <protection locked="0"/>
    </xf>
    <xf numFmtId="0" fontId="32" fillId="28" borderId="59" xfId="0" applyFont="1" applyFill="1" applyBorder="1" applyAlignment="1" applyProtection="1">
      <alignment horizontal="left" vertical="center"/>
      <protection locked="0"/>
    </xf>
    <xf numFmtId="0" fontId="32" fillId="28" borderId="58" xfId="0" applyFont="1" applyFill="1" applyBorder="1" applyAlignment="1" applyProtection="1">
      <alignment horizontal="left" vertical="center"/>
      <protection locked="0"/>
    </xf>
    <xf numFmtId="0" fontId="41" fillId="0" borderId="51" xfId="26" applyFont="1" applyFill="1" applyBorder="1" applyAlignment="1">
      <alignment horizontal="left" vertical="center"/>
    </xf>
    <xf numFmtId="0" fontId="41" fillId="0" borderId="52" xfId="26" applyFont="1" applyFill="1" applyBorder="1" applyAlignment="1">
      <alignment horizontal="left" vertical="center"/>
    </xf>
    <xf numFmtId="0" fontId="41" fillId="0" borderId="53" xfId="26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6" fontId="32" fillId="0" borderId="3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4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45" fillId="0" borderId="14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32" xfId="0" applyFont="1" applyFill="1" applyBorder="1" applyAlignment="1">
      <alignment horizontal="left" vertical="center"/>
    </xf>
    <xf numFmtId="0" fontId="31" fillId="28" borderId="40" xfId="0" applyFont="1" applyFill="1" applyBorder="1" applyAlignment="1">
      <alignment horizontal="center" vertical="center"/>
    </xf>
    <xf numFmtId="0" fontId="31" fillId="28" borderId="43" xfId="0" applyFont="1" applyFill="1" applyBorder="1" applyAlignment="1">
      <alignment horizontal="center" vertical="center"/>
    </xf>
    <xf numFmtId="0" fontId="32" fillId="0" borderId="51" xfId="26" applyFont="1" applyFill="1" applyBorder="1" applyAlignment="1" applyProtection="1">
      <alignment horizontal="left" vertical="center"/>
    </xf>
    <xf numFmtId="0" fontId="32" fillId="0" borderId="52" xfId="26" applyFont="1" applyFill="1" applyBorder="1" applyAlignment="1" applyProtection="1">
      <alignment horizontal="left" vertical="center"/>
    </xf>
    <xf numFmtId="0" fontId="32" fillId="0" borderId="53" xfId="26" applyFont="1" applyFill="1" applyBorder="1" applyAlignment="1" applyProtection="1">
      <alignment horizontal="left" vertical="center"/>
    </xf>
    <xf numFmtId="0" fontId="30" fillId="28" borderId="39" xfId="0" applyFont="1" applyFill="1" applyBorder="1" applyAlignment="1" applyProtection="1">
      <alignment horizontal="center" vertical="center"/>
    </xf>
    <xf numFmtId="0" fontId="30" fillId="28" borderId="45" xfId="0" applyFont="1" applyFill="1" applyBorder="1" applyAlignment="1" applyProtection="1">
      <alignment horizontal="center" vertical="center"/>
    </xf>
    <xf numFmtId="0" fontId="30" fillId="28" borderId="67" xfId="0" applyFont="1" applyFill="1" applyBorder="1" applyAlignment="1" applyProtection="1">
      <alignment horizontal="center" vertical="center" wrapText="1"/>
    </xf>
    <xf numFmtId="0" fontId="30" fillId="28" borderId="63" xfId="0" applyFont="1" applyFill="1" applyBorder="1" applyAlignment="1" applyProtection="1">
      <alignment horizontal="center" vertical="center"/>
    </xf>
    <xf numFmtId="0" fontId="30" fillId="28" borderId="68" xfId="0" applyFont="1" applyFill="1" applyBorder="1" applyAlignment="1" applyProtection="1">
      <alignment horizontal="center" vertical="center"/>
    </xf>
    <xf numFmtId="0" fontId="30" fillId="28" borderId="64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33" fillId="28" borderId="55" xfId="0" applyFont="1" applyFill="1" applyBorder="1" applyAlignment="1" applyProtection="1">
      <alignment horizontal="left" vertical="center"/>
    </xf>
    <xf numFmtId="0" fontId="33" fillId="28" borderId="29" xfId="0" applyFont="1" applyFill="1" applyBorder="1" applyAlignment="1" applyProtection="1">
      <alignment horizontal="left" vertical="center"/>
    </xf>
    <xf numFmtId="0" fontId="33" fillId="28" borderId="56" xfId="0" applyFont="1" applyFill="1" applyBorder="1" applyAlignment="1" applyProtection="1">
      <alignment horizontal="left" vertical="center"/>
    </xf>
    <xf numFmtId="0" fontId="39" fillId="0" borderId="69" xfId="0" applyFont="1" applyFill="1" applyBorder="1" applyAlignment="1" applyProtection="1">
      <alignment horizontal="left" vertical="center"/>
    </xf>
    <xf numFmtId="0" fontId="39" fillId="0" borderId="70" xfId="0" applyFont="1" applyFill="1" applyBorder="1" applyAlignment="1" applyProtection="1">
      <alignment horizontal="left" vertical="center"/>
    </xf>
    <xf numFmtId="0" fontId="39" fillId="0" borderId="71" xfId="0" applyFont="1" applyFill="1" applyBorder="1" applyAlignment="1" applyProtection="1">
      <alignment horizontal="left" vertical="center"/>
    </xf>
    <xf numFmtId="0" fontId="33" fillId="28" borderId="57" xfId="0" applyFont="1" applyFill="1" applyBorder="1" applyAlignment="1" applyProtection="1">
      <alignment horizontal="left" vertical="center"/>
    </xf>
    <xf numFmtId="0" fontId="33" fillId="28" borderId="59" xfId="0" applyFont="1" applyFill="1" applyBorder="1" applyAlignment="1" applyProtection="1">
      <alignment horizontal="left" vertical="center"/>
    </xf>
    <xf numFmtId="0" fontId="33" fillId="28" borderId="58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 applyProtection="1">
      <alignment horizontal="left" vertical="center"/>
    </xf>
    <xf numFmtId="0" fontId="32" fillId="0" borderId="29" xfId="0" applyFont="1" applyFill="1" applyBorder="1" applyAlignment="1" applyProtection="1">
      <alignment horizontal="left" vertical="center"/>
    </xf>
    <xf numFmtId="0" fontId="32" fillId="0" borderId="32" xfId="0" applyFont="1" applyFill="1" applyBorder="1" applyAlignment="1" applyProtection="1">
      <alignment horizontal="left" vertical="center"/>
    </xf>
    <xf numFmtId="0" fontId="33" fillId="0" borderId="14" xfId="0" applyFont="1" applyFill="1" applyBorder="1" applyAlignment="1" applyProtection="1">
      <alignment horizontal="left" vertical="center"/>
    </xf>
    <xf numFmtId="0" fontId="33" fillId="0" borderId="29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</cellXfs>
  <cellStyles count="70">
    <cellStyle name="20 % - Akzent3" xfId="51" builtinId="38"/>
    <cellStyle name="20 % - Akzent3 2" xfId="60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 % - Akzent3 2" xfId="52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3 2" xfId="64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rechnung 2" xfId="6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57"/>
    <cellStyle name="Gut" xfId="31" builtinId="26" customBuiltin="1"/>
    <cellStyle name="Gut 2" xfId="67"/>
    <cellStyle name="Hyperlink" xfId="63" builtinId="8"/>
    <cellStyle name="Komma" xfId="32" builtinId="3"/>
    <cellStyle name="Komma 2" xfId="54"/>
    <cellStyle name="Komma 3" xfId="58"/>
    <cellStyle name="Komma 4" xfId="66"/>
    <cellStyle name="Neutral" xfId="33" builtinId="28" customBuiltin="1"/>
    <cellStyle name="Neutral 2" xfId="68"/>
    <cellStyle name="Notiz" xfId="34" builtinId="10" customBuiltin="1"/>
    <cellStyle name="Prozent 2" xfId="55"/>
    <cellStyle name="Prozent 3" xfId="59"/>
    <cellStyle name="SAPBEXaggData" xfId="35"/>
    <cellStyle name="SAPBEXaggItem" xfId="36"/>
    <cellStyle name="SAPBEXchaText" xfId="37"/>
    <cellStyle name="SAPBEXstdItem" xfId="38"/>
    <cellStyle name="SAPBEXstdItemX" xfId="39"/>
    <cellStyle name="Schlecht" xfId="40" builtinId="27" customBuiltin="1"/>
    <cellStyle name="Standard" xfId="0" builtinId="0"/>
    <cellStyle name="Standard 2" xfId="53"/>
    <cellStyle name="Standard 3" xfId="56"/>
    <cellStyle name="Standard 4" xfId="65"/>
    <cellStyle name="Standard 5" xfId="69"/>
    <cellStyle name="Standard_20081201_Zusammenfassung_Zaehler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ährung" xfId="48" builtinId="4"/>
    <cellStyle name="Währung 2" xfId="62"/>
    <cellStyle name="Warnender Text" xfId="49" builtinId="11" customBuiltin="1"/>
    <cellStyle name="Zelle überprüfen" xfId="50" builtinId="23" customBuiltin="1"/>
  </cellStyles>
  <dxfs count="0"/>
  <tableStyles count="0" defaultTableStyle="TableStyleMedium2" defaultPivotStyle="PivotStyleLight16"/>
  <colors>
    <mruColors>
      <color rgb="FFEAEAEF"/>
      <color rgb="FFEAEAF2"/>
      <color rgb="FFFECC00"/>
      <color rgb="FFFFFF00"/>
      <color rgb="FF4D4D60"/>
      <color rgb="FFA4C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849923</xdr:colOff>
      <xdr:row>5</xdr:row>
      <xdr:rowOff>359019</xdr:rowOff>
    </xdr:from>
    <xdr:ext cx="184731" cy="264560"/>
    <xdr:sp macro="" textlink="">
      <xdr:nvSpPr>
        <xdr:cNvPr id="3" name="Textfeld 2"/>
        <xdr:cNvSpPr txBox="1"/>
      </xdr:nvSpPr>
      <xdr:spPr>
        <a:xfrm>
          <a:off x="952500" y="1677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schlegelj.ESW\Lokale%20Einstellungen\Temporary%20Internet%20Files\OLK13B\Entgeltrech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gulierungsmanagement\Netzkosten\Entgeltantrag2007\Entgeltberechnung2007\Entgeltberechnung2007_Neukalkulation\20080409_NPM_Berechnung_der_NNE_Basis_Arbeit_ES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gulierungsmanagement\Netzkosten\Entgeltantrag2007\Entgeltberechnung2007\Entgeltberechnung2007_Neukalkulation\20080409_NPM_Berechnung_der_NNE_Basis_Leistung_ES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wnetapp2\netz$\03_Netzzugang\07_Netzentgelt\Entgeltrechner\20101216_Zusammenfassung_Zaeh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Entgeltrechner2009_sigm_inclVNB"/>
      <sheetName val="Preisblatt2009_ohneVNB"/>
      <sheetName val="Preisblatt2009_inclVNB"/>
      <sheetName val="Entgeltrechner2008_2"/>
      <sheetName val="Entgeltrechner2008_2T"/>
      <sheetName val="PreisblattNEV2007"/>
      <sheetName val="Entgeltrechner2007"/>
      <sheetName val="Meßentgelte"/>
      <sheetName val="Preisblatt_VV2"/>
      <sheetName val="Umsetzungstabelle_BH_V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E ARBEIT"/>
      <sheetName val="Gruppierung Arbeit OV"/>
      <sheetName val="Gruppierung Arbeit OT"/>
      <sheetName val="Staffelpreis Arbeit"/>
      <sheetName val="Diagramm"/>
    </sheetNames>
    <sheetDataSet>
      <sheetData sheetId="0">
        <row r="27">
          <cell r="S27">
            <v>1.33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E Leistung"/>
      <sheetName val="Gruppierung Leistung OV"/>
      <sheetName val="Gruppierung Leistung OT"/>
      <sheetName val="Staffelpreis Leistung"/>
      <sheetName val="Diagramm"/>
    </sheetNames>
    <sheetDataSet>
      <sheetData sheetId="0">
        <row r="27">
          <cell r="S27">
            <v>1.1950000000000001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GDRM_Anlagen"/>
      <sheetName val="Tabelle3"/>
      <sheetName val="AnzahlZaehler"/>
      <sheetName val="Verprobung MAM"/>
      <sheetName val="ZählerKosten"/>
      <sheetName val="Aufbau Preisblatt"/>
    </sheetNames>
    <sheetDataSet>
      <sheetData sheetId="0" refreshError="1"/>
      <sheetData sheetId="1" refreshError="1"/>
      <sheetData sheetId="2" refreshError="1"/>
      <sheetData sheetId="3">
        <row r="40">
          <cell r="G40">
            <v>5.45</v>
          </cell>
        </row>
        <row r="41">
          <cell r="G41">
            <v>322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/>
    <pageSetUpPr fitToPage="1"/>
  </sheetPr>
  <dimension ref="A1:L79"/>
  <sheetViews>
    <sheetView tabSelected="1" workbookViewId="0">
      <selection activeCell="F7" sqref="F7"/>
    </sheetView>
  </sheetViews>
  <sheetFormatPr baseColWidth="10" defaultColWidth="0" defaultRowHeight="13.5" zeroHeight="1" outlineLevelRow="2" x14ac:dyDescent="0.25"/>
  <cols>
    <col min="1" max="1" width="1.5703125" style="3" customWidth="1"/>
    <col min="2" max="2" width="21" style="3" customWidth="1"/>
    <col min="3" max="3" width="25.140625" style="3" customWidth="1"/>
    <col min="4" max="4" width="19" style="3" customWidth="1"/>
    <col min="5" max="5" width="10.85546875" style="3" customWidth="1"/>
    <col min="6" max="6" width="20.28515625" style="3" customWidth="1"/>
    <col min="7" max="7" width="26.7109375" style="14" customWidth="1"/>
    <col min="8" max="8" width="3.85546875" style="3" customWidth="1"/>
    <col min="9" max="9" width="17.5703125" style="3" hidden="1" customWidth="1"/>
    <col min="10" max="12" width="17.5703125" style="2" hidden="1" customWidth="1"/>
    <col min="13" max="16384" width="17.5703125" style="3" hidden="1"/>
  </cols>
  <sheetData>
    <row r="1" spans="1:9" ht="27.75" customHeight="1" thickBot="1" x14ac:dyDescent="0.3">
      <c r="A1" s="265"/>
      <c r="B1" s="269" t="s">
        <v>134</v>
      </c>
      <c r="C1" s="270"/>
      <c r="D1" s="270"/>
      <c r="E1" s="270"/>
      <c r="F1" s="270"/>
      <c r="G1" s="271"/>
      <c r="H1" s="1"/>
      <c r="I1" s="1"/>
    </row>
    <row r="2" spans="1:9" s="4" customFormat="1" ht="27.75" customHeight="1" x14ac:dyDescent="0.25">
      <c r="A2" s="265"/>
      <c r="B2" s="15" t="s">
        <v>135</v>
      </c>
      <c r="C2" s="16"/>
      <c r="D2" s="17"/>
      <c r="E2" s="17"/>
      <c r="G2" s="18" t="s">
        <v>133</v>
      </c>
    </row>
    <row r="3" spans="1:9" ht="2.25" customHeight="1" x14ac:dyDescent="0.25">
      <c r="A3" s="265"/>
      <c r="B3" s="267"/>
      <c r="C3" s="267"/>
      <c r="D3" s="267"/>
      <c r="E3" s="267"/>
      <c r="F3" s="267"/>
      <c r="G3" s="267"/>
      <c r="H3" s="267"/>
      <c r="I3" s="5"/>
    </row>
    <row r="4" spans="1:9" ht="24" customHeight="1" x14ac:dyDescent="0.25">
      <c r="A4" s="265"/>
      <c r="B4" s="19"/>
      <c r="D4" s="274" t="s">
        <v>88</v>
      </c>
      <c r="E4" s="275"/>
      <c r="F4" s="276"/>
      <c r="G4" s="14" t="s">
        <v>77</v>
      </c>
      <c r="H4" s="267"/>
    </row>
    <row r="5" spans="1:9" ht="3.75" customHeight="1" thickBot="1" x14ac:dyDescent="0.3">
      <c r="A5" s="265"/>
      <c r="B5" s="5"/>
      <c r="C5" s="5"/>
      <c r="D5" s="5"/>
      <c r="E5" s="5"/>
      <c r="F5" s="5"/>
      <c r="G5" s="20"/>
      <c r="H5" s="267"/>
    </row>
    <row r="6" spans="1:9" ht="31.5" customHeight="1" thickBot="1" x14ac:dyDescent="0.3">
      <c r="A6" s="265"/>
      <c r="C6" s="21" t="s">
        <v>118</v>
      </c>
      <c r="D6" s="22">
        <v>2500000</v>
      </c>
      <c r="E6" s="23" t="s">
        <v>17</v>
      </c>
      <c r="G6" s="24" t="s">
        <v>20</v>
      </c>
      <c r="H6" s="267"/>
    </row>
    <row r="7" spans="1:9" ht="31.5" customHeight="1" thickBot="1" x14ac:dyDescent="0.3">
      <c r="A7" s="265"/>
      <c r="C7" s="21" t="s">
        <v>128</v>
      </c>
      <c r="D7" s="25">
        <v>1100</v>
      </c>
      <c r="E7" s="23" t="s">
        <v>16</v>
      </c>
      <c r="F7" s="26">
        <f>IF(D7=0,IF(D6&gt;1500000,"Leistungswert 
bitte eintragen",""),IF(+D6/D7&gt;8600,"unplausibler Leistungswert",D6/D7))</f>
        <v>2272.7272727272725</v>
      </c>
      <c r="G7" s="27" t="str">
        <f>+IF(D7&lt;0.5," ",IF(D7=""," ",IF(G6="RLM","",IF(F7&gt;2500,"prüfen ob RLM 
evtl. wirtschaftlich",""))))</f>
        <v/>
      </c>
      <c r="H7" s="267"/>
    </row>
    <row r="8" spans="1:9" ht="18" customHeight="1" x14ac:dyDescent="0.25">
      <c r="A8" s="265"/>
      <c r="C8" s="3" t="s">
        <v>127</v>
      </c>
      <c r="G8" s="3"/>
      <c r="H8" s="267"/>
    </row>
    <row r="9" spans="1:9" ht="0.75" customHeight="1" x14ac:dyDescent="0.25">
      <c r="A9" s="265"/>
      <c r="H9" s="267"/>
    </row>
    <row r="10" spans="1:9" s="4" customFormat="1" ht="24.75" customHeight="1" thickBot="1" x14ac:dyDescent="0.3">
      <c r="A10" s="265"/>
      <c r="B10" s="28" t="s">
        <v>73</v>
      </c>
      <c r="C10" s="29"/>
      <c r="D10" s="29"/>
      <c r="E10" s="29"/>
      <c r="F10" s="29"/>
      <c r="G10" s="1"/>
      <c r="H10" s="267"/>
    </row>
    <row r="11" spans="1:9" x14ac:dyDescent="0.25">
      <c r="A11" s="265"/>
      <c r="B11" s="3" t="s">
        <v>61</v>
      </c>
      <c r="H11" s="267"/>
    </row>
    <row r="12" spans="1:9" ht="7.5" customHeight="1" x14ac:dyDescent="0.25">
      <c r="A12" s="265"/>
      <c r="H12" s="267"/>
    </row>
    <row r="13" spans="1:9" s="6" customFormat="1" ht="15.75" customHeight="1" outlineLevel="1" x14ac:dyDescent="0.25">
      <c r="A13" s="265"/>
      <c r="B13" s="30" t="s">
        <v>72</v>
      </c>
      <c r="C13" s="31"/>
      <c r="D13" s="32"/>
      <c r="E13" s="31"/>
      <c r="F13" s="31"/>
      <c r="G13" s="33"/>
      <c r="H13" s="267"/>
      <c r="I13" s="3"/>
    </row>
    <row r="14" spans="1:9" ht="13.5" customHeight="1" outlineLevel="1" x14ac:dyDescent="0.25">
      <c r="A14" s="265"/>
      <c r="B14" s="266"/>
      <c r="C14" s="266"/>
      <c r="D14" s="266"/>
      <c r="E14" s="266"/>
      <c r="F14" s="266"/>
      <c r="G14" s="266"/>
      <c r="H14" s="267"/>
    </row>
    <row r="15" spans="1:9" s="5" customFormat="1" ht="13.5" customHeight="1" outlineLevel="1" x14ac:dyDescent="0.25">
      <c r="A15" s="265"/>
      <c r="B15" s="34" t="s">
        <v>5</v>
      </c>
      <c r="C15" s="35" t="s">
        <v>0</v>
      </c>
      <c r="D15" s="36" t="s">
        <v>1</v>
      </c>
      <c r="E15" s="35" t="s">
        <v>2</v>
      </c>
      <c r="F15" s="37" t="s">
        <v>3</v>
      </c>
      <c r="G15" s="38" t="s">
        <v>4</v>
      </c>
      <c r="H15" s="267"/>
      <c r="I15" s="3"/>
    </row>
    <row r="16" spans="1:9" outlineLevel="1" x14ac:dyDescent="0.25">
      <c r="A16" s="265"/>
      <c r="B16" s="39">
        <f>+LOOKUP(D6,'Preistabellen inkl. VNB'!C9:C15,'Preistabellen inkl. VNB'!F9:F15)</f>
        <v>1000000</v>
      </c>
      <c r="C16" s="40">
        <f>+LOOKUP(D6,'Preistabellen inkl. VNB'!C9:C15,'Preistabellen inkl. VNB'!E9:E15)</f>
        <v>13539.76</v>
      </c>
      <c r="D16" s="39">
        <f>(+D6-B16)</f>
        <v>1500000</v>
      </c>
      <c r="E16" s="41">
        <f>+LOOKUP(D6,'Preistabellen inkl. VNB'!C9:C15,'Preistabellen inkl. VNB'!G9:G15)</f>
        <v>1.3247</v>
      </c>
      <c r="F16" s="42">
        <f>(+E16/100*D16)</f>
        <v>19870.5</v>
      </c>
      <c r="G16" s="3"/>
      <c r="H16" s="267"/>
      <c r="I16" s="7"/>
    </row>
    <row r="17" spans="1:9" ht="3" customHeight="1" outlineLevel="1" x14ac:dyDescent="0.25">
      <c r="A17" s="265"/>
      <c r="B17" s="8"/>
      <c r="C17" s="43"/>
      <c r="D17" s="8"/>
      <c r="E17" s="44"/>
      <c r="F17" s="45"/>
      <c r="G17" s="3"/>
      <c r="H17" s="267"/>
      <c r="I17" s="7"/>
    </row>
    <row r="18" spans="1:9" ht="28.5" customHeight="1" x14ac:dyDescent="0.25">
      <c r="A18" s="265"/>
      <c r="B18" s="46" t="s">
        <v>136</v>
      </c>
      <c r="C18" s="47"/>
      <c r="D18" s="47"/>
      <c r="E18" s="47"/>
      <c r="F18" s="47"/>
      <c r="G18" s="48">
        <f>+F16+C16</f>
        <v>33410.26</v>
      </c>
      <c r="H18" s="267"/>
      <c r="I18" s="7"/>
    </row>
    <row r="19" spans="1:9" s="7" customFormat="1" ht="9.75" customHeight="1" x14ac:dyDescent="0.25">
      <c r="A19" s="265"/>
      <c r="B19" s="8"/>
      <c r="C19" s="43"/>
      <c r="D19" s="8"/>
      <c r="E19" s="8"/>
      <c r="F19" s="8"/>
      <c r="G19" s="49"/>
      <c r="H19" s="267"/>
      <c r="I19" s="8"/>
    </row>
    <row r="20" spans="1:9" s="4" customFormat="1" ht="24.75" customHeight="1" thickBot="1" x14ac:dyDescent="0.3">
      <c r="A20" s="265"/>
      <c r="B20" s="28" t="s">
        <v>74</v>
      </c>
      <c r="C20" s="29"/>
      <c r="D20" s="29"/>
      <c r="E20" s="29"/>
      <c r="F20" s="29"/>
      <c r="G20" s="1"/>
      <c r="H20" s="267"/>
    </row>
    <row r="21" spans="1:9" ht="7.5" customHeight="1" x14ac:dyDescent="0.25">
      <c r="A21" s="265"/>
      <c r="B21" s="50"/>
      <c r="C21" s="50"/>
      <c r="D21" s="50"/>
      <c r="E21" s="50"/>
      <c r="F21" s="50"/>
      <c r="G21" s="51"/>
      <c r="H21" s="267"/>
    </row>
    <row r="22" spans="1:9" s="6" customFormat="1" ht="20.25" customHeight="1" outlineLevel="1" x14ac:dyDescent="0.25">
      <c r="A22" s="265"/>
      <c r="B22" s="46" t="s">
        <v>75</v>
      </c>
      <c r="C22" s="47"/>
      <c r="D22" s="47"/>
      <c r="E22" s="47"/>
      <c r="F22" s="52"/>
      <c r="G22" s="51"/>
      <c r="H22" s="267"/>
      <c r="I22" s="3"/>
    </row>
    <row r="23" spans="1:9" s="6" customFormat="1" ht="4.5" customHeight="1" outlineLevel="1" x14ac:dyDescent="0.25">
      <c r="A23" s="265"/>
      <c r="B23" s="53"/>
      <c r="C23" s="53"/>
      <c r="D23" s="53"/>
      <c r="E23" s="53"/>
      <c r="F23" s="53"/>
      <c r="G23" s="51"/>
      <c r="H23" s="267"/>
      <c r="I23" s="3"/>
    </row>
    <row r="24" spans="1:9" ht="6.75" customHeight="1" outlineLevel="1" x14ac:dyDescent="0.25">
      <c r="A24" s="265"/>
      <c r="B24" s="50"/>
      <c r="C24" s="50"/>
      <c r="D24" s="50"/>
      <c r="E24" s="50"/>
      <c r="F24" s="50"/>
      <c r="G24" s="51"/>
      <c r="H24" s="267"/>
    </row>
    <row r="25" spans="1:9" ht="17.25" customHeight="1" outlineLevel="2" x14ac:dyDescent="0.25">
      <c r="A25" s="265"/>
      <c r="C25" s="21" t="s">
        <v>13</v>
      </c>
      <c r="D25" s="54">
        <f>+D6</f>
        <v>2500000</v>
      </c>
      <c r="E25" s="50" t="s">
        <v>17</v>
      </c>
      <c r="G25" s="51"/>
      <c r="H25" s="267"/>
    </row>
    <row r="26" spans="1:9" ht="17.25" customHeight="1" outlineLevel="2" x14ac:dyDescent="0.25">
      <c r="A26" s="265"/>
      <c r="C26" s="55" t="s">
        <v>58</v>
      </c>
      <c r="D26" s="56">
        <f>+LOOKUP(D25,'Preistabellen inkl. VNB'!C23:C30,'Preistabellen inkl. VNB'!B23:B30)</f>
        <v>3</v>
      </c>
      <c r="E26" s="50" t="s">
        <v>86</v>
      </c>
      <c r="G26" s="51"/>
      <c r="H26" s="267"/>
    </row>
    <row r="27" spans="1:9" ht="17.25" customHeight="1" outlineLevel="2" x14ac:dyDescent="0.25">
      <c r="A27" s="265"/>
      <c r="C27" s="55" t="s">
        <v>14</v>
      </c>
      <c r="D27" s="57">
        <f>+LOOKUP(D25,'Preistabellen inkl. VNB'!C23:C30,'Preistabellen inkl. VNB'!G23:G30)</f>
        <v>0.31759999999999999</v>
      </c>
      <c r="E27" s="50" t="s">
        <v>15</v>
      </c>
      <c r="G27" s="51"/>
      <c r="H27" s="267"/>
      <c r="I27" s="5"/>
    </row>
    <row r="28" spans="1:9" ht="17.25" customHeight="1" outlineLevel="2" x14ac:dyDescent="0.25">
      <c r="A28" s="265"/>
      <c r="C28" s="55" t="s">
        <v>45</v>
      </c>
      <c r="D28" s="58">
        <f>+LOOKUP(D25,'Preistabellen inkl. VNB'!C23:C30,'Preistabellen inkl. VNB'!E23:E30)</f>
        <v>6553.75</v>
      </c>
      <c r="E28" s="50" t="s">
        <v>86</v>
      </c>
      <c r="G28" s="51"/>
      <c r="H28" s="267"/>
      <c r="I28" s="5"/>
    </row>
    <row r="29" spans="1:9" ht="17.25" customHeight="1" outlineLevel="2" x14ac:dyDescent="0.25">
      <c r="A29" s="265"/>
      <c r="C29" s="55" t="s">
        <v>59</v>
      </c>
      <c r="D29" s="57">
        <f>+LOOKUP(D25,'Preistabellen inkl. VNB'!C23:C30,'Preistabellen inkl. VNB'!F23:F30)</f>
        <v>2000000</v>
      </c>
      <c r="E29" s="50" t="s">
        <v>86</v>
      </c>
      <c r="G29" s="51"/>
      <c r="H29" s="267"/>
      <c r="I29" s="5"/>
    </row>
    <row r="30" spans="1:9" ht="17.25" customHeight="1" outlineLevel="2" x14ac:dyDescent="0.25">
      <c r="A30" s="265"/>
      <c r="C30" s="55" t="s">
        <v>1</v>
      </c>
      <c r="D30" s="57">
        <f>+D25-D29</f>
        <v>500000</v>
      </c>
      <c r="E30" s="50" t="s">
        <v>86</v>
      </c>
      <c r="G30" s="51"/>
      <c r="H30" s="267"/>
      <c r="I30" s="5"/>
    </row>
    <row r="31" spans="1:9" ht="4.5" customHeight="1" outlineLevel="2" x14ac:dyDescent="0.25">
      <c r="A31" s="265"/>
      <c r="B31" s="50"/>
      <c r="C31" s="50"/>
      <c r="D31" s="50"/>
      <c r="E31" s="50"/>
      <c r="G31" s="51"/>
      <c r="H31" s="267"/>
      <c r="I31" s="5"/>
    </row>
    <row r="32" spans="1:9" s="6" customFormat="1" ht="20.25" customHeight="1" outlineLevel="1" x14ac:dyDescent="0.25">
      <c r="A32" s="265"/>
      <c r="B32" s="280" t="s">
        <v>83</v>
      </c>
      <c r="C32" s="281"/>
      <c r="D32" s="281"/>
      <c r="E32" s="282"/>
      <c r="F32" s="59">
        <f>ROUND(+D30*D27/100+D28,2)</f>
        <v>8141.75</v>
      </c>
      <c r="G32" s="60"/>
      <c r="H32" s="267"/>
      <c r="I32" s="9"/>
    </row>
    <row r="33" spans="1:9" ht="5.25" customHeight="1" outlineLevel="1" x14ac:dyDescent="0.25">
      <c r="A33" s="265"/>
      <c r="B33" s="50"/>
      <c r="C33" s="50"/>
      <c r="D33" s="50"/>
      <c r="E33" s="50"/>
      <c r="F33" s="61"/>
      <c r="G33" s="51"/>
      <c r="H33" s="267"/>
      <c r="I33" s="5"/>
    </row>
    <row r="34" spans="1:9" ht="21" customHeight="1" outlineLevel="2" x14ac:dyDescent="0.25">
      <c r="A34" s="265"/>
      <c r="C34" s="55" t="s">
        <v>76</v>
      </c>
      <c r="D34" s="62">
        <f>+D7</f>
        <v>1100</v>
      </c>
      <c r="E34" s="50" t="s">
        <v>48</v>
      </c>
      <c r="H34" s="267"/>
      <c r="I34" s="5"/>
    </row>
    <row r="35" spans="1:9" ht="21" customHeight="1" outlineLevel="2" x14ac:dyDescent="0.25">
      <c r="A35" s="265"/>
      <c r="C35" s="55" t="s">
        <v>58</v>
      </c>
      <c r="D35" s="63">
        <f>+LOOKUP(D34,'Preistabellen inkl. VNB'!C37:C46,'Preistabellen inkl. VNB'!B37:B46)</f>
        <v>2</v>
      </c>
      <c r="E35" s="50"/>
      <c r="H35" s="267"/>
      <c r="I35" s="5"/>
    </row>
    <row r="36" spans="1:9" ht="21" customHeight="1" outlineLevel="2" x14ac:dyDescent="0.25">
      <c r="A36" s="265"/>
      <c r="C36" s="55" t="s">
        <v>7</v>
      </c>
      <c r="D36" s="64">
        <f>+LOOKUP(D34,'Preistabellen inkl. VNB'!C37:C46,'Preistabellen inkl. VNB'!G37:G46)</f>
        <v>19.057700000000001</v>
      </c>
      <c r="E36" s="50" t="s">
        <v>12</v>
      </c>
      <c r="F36" s="65"/>
      <c r="H36" s="267"/>
      <c r="I36" s="5"/>
    </row>
    <row r="37" spans="1:9" ht="21" customHeight="1" outlineLevel="2" x14ac:dyDescent="0.25">
      <c r="A37" s="265"/>
      <c r="C37" s="55" t="s">
        <v>45</v>
      </c>
      <c r="D37" s="58">
        <f>+LOOKUP(D34,'Preistabellen inkl. VNB'!C37:C46,'Preistabellen inkl. VNB'!E37:E46)</f>
        <v>15227.48</v>
      </c>
      <c r="E37" s="50"/>
      <c r="H37" s="267"/>
      <c r="I37" s="5"/>
    </row>
    <row r="38" spans="1:9" ht="21" customHeight="1" outlineLevel="2" x14ac:dyDescent="0.25">
      <c r="A38" s="265"/>
      <c r="C38" s="55" t="s">
        <v>66</v>
      </c>
      <c r="D38" s="57">
        <f>+LOOKUP(D34,'Preistabellen inkl. VNB'!C37:C46,'Preistabellen inkl. VNB'!F37:F46)</f>
        <v>750</v>
      </c>
      <c r="E38" s="50"/>
      <c r="H38" s="267"/>
      <c r="I38" s="5"/>
    </row>
    <row r="39" spans="1:9" ht="21" customHeight="1" outlineLevel="2" x14ac:dyDescent="0.25">
      <c r="A39" s="265"/>
      <c r="C39" s="55" t="s">
        <v>67</v>
      </c>
      <c r="D39" s="57">
        <f>+D34-D38</f>
        <v>350</v>
      </c>
      <c r="E39" s="50"/>
      <c r="F39" s="61"/>
      <c r="G39" s="66"/>
      <c r="H39" s="267"/>
      <c r="I39" s="5"/>
    </row>
    <row r="40" spans="1:9" ht="6.75" customHeight="1" outlineLevel="2" x14ac:dyDescent="0.25">
      <c r="A40" s="265"/>
      <c r="B40" s="50"/>
      <c r="C40" s="50"/>
      <c r="D40" s="50"/>
      <c r="E40" s="50"/>
      <c r="F40" s="61"/>
      <c r="G40" s="51"/>
      <c r="H40" s="267"/>
      <c r="I40" s="5"/>
    </row>
    <row r="41" spans="1:9" s="6" customFormat="1" ht="21" customHeight="1" outlineLevel="1" x14ac:dyDescent="0.25">
      <c r="A41" s="265"/>
      <c r="B41" s="280" t="s">
        <v>84</v>
      </c>
      <c r="C41" s="281"/>
      <c r="D41" s="281"/>
      <c r="E41" s="282"/>
      <c r="F41" s="67">
        <f>ROUND(+D39*D36+D37,2)</f>
        <v>21897.68</v>
      </c>
      <c r="G41" s="68">
        <f>+F41/12</f>
        <v>1824.8066666666666</v>
      </c>
      <c r="H41" s="267"/>
      <c r="I41" s="9"/>
    </row>
    <row r="42" spans="1:9" ht="4.5" customHeight="1" outlineLevel="1" x14ac:dyDescent="0.25">
      <c r="A42" s="265"/>
      <c r="B42" s="50"/>
      <c r="C42" s="50"/>
      <c r="E42" s="50"/>
      <c r="F42" s="50"/>
      <c r="G42" s="51"/>
      <c r="H42" s="267"/>
      <c r="I42" s="5"/>
    </row>
    <row r="43" spans="1:9" s="11" customFormat="1" ht="28.5" customHeight="1" outlineLevel="1" x14ac:dyDescent="0.25">
      <c r="A43" s="265"/>
      <c r="B43" s="46" t="s">
        <v>137</v>
      </c>
      <c r="C43" s="47"/>
      <c r="D43" s="47"/>
      <c r="E43" s="47"/>
      <c r="F43" s="47"/>
      <c r="G43" s="48">
        <f>+F41+F32</f>
        <v>30039.43</v>
      </c>
      <c r="H43" s="267"/>
      <c r="I43" s="10"/>
    </row>
    <row r="44" spans="1:9" ht="6.75" customHeight="1" x14ac:dyDescent="0.25">
      <c r="A44" s="265"/>
      <c r="B44" s="5"/>
      <c r="C44" s="5"/>
      <c r="D44" s="5"/>
      <c r="E44" s="5"/>
      <c r="F44" s="5"/>
      <c r="G44" s="5"/>
      <c r="H44" s="267"/>
      <c r="I44" s="5"/>
    </row>
    <row r="45" spans="1:9" s="4" customFormat="1" ht="24.75" customHeight="1" x14ac:dyDescent="0.25">
      <c r="A45" s="265"/>
      <c r="B45" s="69" t="s">
        <v>70</v>
      </c>
      <c r="C45" s="70"/>
      <c r="D45" s="70"/>
      <c r="E45" s="70"/>
      <c r="F45" s="70"/>
      <c r="G45" s="71"/>
      <c r="H45" s="267"/>
    </row>
    <row r="46" spans="1:9" ht="6" customHeight="1" x14ac:dyDescent="0.25">
      <c r="A46" s="265"/>
      <c r="H46" s="267"/>
    </row>
    <row r="47" spans="1:9" ht="24" customHeight="1" x14ac:dyDescent="0.25">
      <c r="A47" s="265"/>
      <c r="B47" s="3" t="s">
        <v>18</v>
      </c>
      <c r="C47" s="72" t="s">
        <v>25</v>
      </c>
      <c r="D47" s="284" t="str">
        <f>+IF(C53="Ja","anbindungsfähiger Zähler derzeit nur bei G4","")</f>
        <v/>
      </c>
      <c r="E47" s="285"/>
      <c r="F47" s="286"/>
      <c r="G47" s="73">
        <f>+VLOOKUP(C47,Messtechnik!B6:C20,2,0)</f>
        <v>66.8</v>
      </c>
      <c r="H47" s="267"/>
    </row>
    <row r="48" spans="1:9" ht="6" customHeight="1" x14ac:dyDescent="0.25">
      <c r="A48" s="265"/>
      <c r="H48" s="267"/>
    </row>
    <row r="49" spans="1:9" ht="24" customHeight="1" x14ac:dyDescent="0.25">
      <c r="A49" s="265"/>
      <c r="B49" s="3" t="s">
        <v>40</v>
      </c>
      <c r="C49" s="72" t="s">
        <v>85</v>
      </c>
      <c r="G49" s="73">
        <f>+IF(C49="Ja",Messtechnik!C22,0)</f>
        <v>0</v>
      </c>
      <c r="H49" s="267"/>
    </row>
    <row r="50" spans="1:9" ht="6" customHeight="1" x14ac:dyDescent="0.25">
      <c r="A50" s="265"/>
      <c r="H50" s="267"/>
    </row>
    <row r="51" spans="1:9" ht="24" customHeight="1" x14ac:dyDescent="0.25">
      <c r="A51" s="265"/>
      <c r="B51" s="3" t="s">
        <v>41</v>
      </c>
      <c r="C51" s="72" t="s">
        <v>85</v>
      </c>
      <c r="G51" s="73">
        <f>+IF(C51="Ja",IF(C49="Ja",0,Messtechnik!C21),0)</f>
        <v>0</v>
      </c>
      <c r="H51" s="267"/>
    </row>
    <row r="52" spans="1:9" ht="6" hidden="1" customHeight="1" x14ac:dyDescent="0.25">
      <c r="A52" s="265"/>
      <c r="G52" s="74"/>
      <c r="H52" s="267"/>
    </row>
    <row r="53" spans="1:9" ht="18" hidden="1" customHeight="1" x14ac:dyDescent="0.25">
      <c r="A53" s="265"/>
      <c r="B53" s="3" t="s">
        <v>121</v>
      </c>
      <c r="C53" s="72" t="s">
        <v>85</v>
      </c>
      <c r="D53" s="3" t="s">
        <v>123</v>
      </c>
      <c r="G53" s="73">
        <f>+IF(C53="Ja",IF(G6="SLP",Messtechnik!C27*(VLOOKUP(C47,Messtechnik!$B$5:$E$20,4,0)),0),0)</f>
        <v>0</v>
      </c>
      <c r="H53" s="267"/>
    </row>
    <row r="54" spans="1:9" ht="14.25" customHeight="1" x14ac:dyDescent="0.25">
      <c r="A54" s="265"/>
      <c r="H54" s="267"/>
    </row>
    <row r="55" spans="1:9" ht="24.75" customHeight="1" x14ac:dyDescent="0.25">
      <c r="A55" s="265"/>
      <c r="B55" s="69" t="s">
        <v>71</v>
      </c>
      <c r="C55" s="70"/>
      <c r="D55" s="70"/>
      <c r="E55" s="70"/>
      <c r="F55" s="70"/>
      <c r="H55" s="267"/>
    </row>
    <row r="56" spans="1:9" ht="6" customHeight="1" x14ac:dyDescent="0.25">
      <c r="A56" s="265"/>
      <c r="C56" s="75"/>
      <c r="D56" s="75"/>
      <c r="H56" s="267"/>
    </row>
    <row r="57" spans="1:9" ht="27" customHeight="1" x14ac:dyDescent="0.25">
      <c r="A57" s="265"/>
      <c r="B57" s="268" t="s">
        <v>35</v>
      </c>
      <c r="C57" s="76" t="str">
        <f>+IF(G6="RLM","Ja","Nein")</f>
        <v>Ja</v>
      </c>
      <c r="D57" s="287" t="str">
        <f>+IF(C57="Nein","= Ablesekarte je Abrechnung vom Kunden ausgefüllt"," = tägliche Zähldatenerfassung durch NGS")</f>
        <v xml:space="preserve"> = tägliche Zähldatenerfassung durch NGS</v>
      </c>
      <c r="E57" s="267"/>
      <c r="F57" s="288"/>
      <c r="G57" s="77">
        <f>+IF(G6="RLM","0",IF(C57="Ja",Messtechnik!D25,Messtechnik!D6))*1</f>
        <v>0</v>
      </c>
      <c r="H57" s="267"/>
    </row>
    <row r="58" spans="1:9" ht="27" customHeight="1" x14ac:dyDescent="0.25">
      <c r="A58" s="265"/>
      <c r="B58" s="268"/>
      <c r="C58" s="78" t="s">
        <v>132</v>
      </c>
      <c r="D58" s="287" t="str">
        <f>IF(G6="SLP","keine Zählerfernauslesung bei SLP-Abnahmestellen",+IF(C58=Messtechnik!B26,"",""))</f>
        <v/>
      </c>
      <c r="E58" s="267"/>
      <c r="F58" s="288"/>
      <c r="G58" s="77">
        <f>IFERROR((+VLOOKUP(C58,Messtechnik!B23:D26,3,0)*1),0)*I58</f>
        <v>255</v>
      </c>
      <c r="H58" s="267"/>
      <c r="I58" s="3">
        <f>+IF(C57="nein",0,1)</f>
        <v>1</v>
      </c>
    </row>
    <row r="59" spans="1:9" ht="6" customHeight="1" x14ac:dyDescent="0.25">
      <c r="A59" s="265"/>
      <c r="H59" s="267"/>
    </row>
    <row r="60" spans="1:9" ht="24.75" customHeight="1" x14ac:dyDescent="0.25">
      <c r="A60" s="265"/>
      <c r="B60" s="69" t="s">
        <v>51</v>
      </c>
      <c r="C60" s="70"/>
      <c r="D60" s="70"/>
      <c r="E60" s="70"/>
      <c r="F60" s="70"/>
      <c r="H60" s="267"/>
    </row>
    <row r="61" spans="1:9" ht="6" customHeight="1" x14ac:dyDescent="0.25">
      <c r="A61" s="265"/>
      <c r="H61" s="267"/>
    </row>
    <row r="62" spans="1:9" ht="19.5" x14ac:dyDescent="0.25">
      <c r="A62" s="265"/>
      <c r="B62" s="3" t="s">
        <v>49</v>
      </c>
      <c r="C62" s="277" t="s">
        <v>90</v>
      </c>
      <c r="D62" s="278"/>
      <c r="E62" s="278"/>
      <c r="F62" s="279"/>
      <c r="G62" s="79">
        <f>+VLOOKUP(C62,Messtechnik!B31:E35,3,0)</f>
        <v>0</v>
      </c>
      <c r="H62" s="267"/>
    </row>
    <row r="63" spans="1:9" x14ac:dyDescent="0.25">
      <c r="A63" s="265"/>
      <c r="H63" s="267"/>
    </row>
    <row r="64" spans="1:9" ht="50.25" customHeight="1" x14ac:dyDescent="0.25">
      <c r="A64" s="265"/>
      <c r="B64" s="272" t="s">
        <v>138</v>
      </c>
      <c r="C64" s="273"/>
      <c r="D64" s="273"/>
      <c r="E64" s="273"/>
      <c r="F64" s="80" t="str">
        <f>+G6</f>
        <v>RLM</v>
      </c>
      <c r="G64" s="81">
        <f>+IF(F64="SLP",G18+G47+G53+G57+G62+G49+G51,G43+G47+G49+G51+G53+G57+G62+G58)</f>
        <v>30361.23</v>
      </c>
      <c r="H64" s="267"/>
    </row>
    <row r="65" spans="1:12" ht="6" customHeight="1" x14ac:dyDescent="0.25">
      <c r="A65" s="265"/>
      <c r="B65" s="82"/>
      <c r="C65" s="82"/>
      <c r="D65" s="82"/>
      <c r="E65" s="82"/>
      <c r="F65" s="83"/>
      <c r="G65" s="84"/>
      <c r="H65" s="5"/>
    </row>
    <row r="66" spans="1:12" ht="6" customHeight="1" x14ac:dyDescent="0.25">
      <c r="A66" s="265"/>
      <c r="B66" s="82"/>
      <c r="C66" s="82"/>
      <c r="D66" s="82"/>
      <c r="E66" s="82"/>
      <c r="F66" s="83"/>
      <c r="G66" s="84"/>
      <c r="H66" s="5"/>
    </row>
    <row r="67" spans="1:12" ht="21" hidden="1" x14ac:dyDescent="0.25">
      <c r="A67" s="265"/>
      <c r="B67" s="85" t="s">
        <v>87</v>
      </c>
    </row>
    <row r="68" spans="1:12" s="12" customFormat="1" ht="17.25" hidden="1" customHeight="1" x14ac:dyDescent="0.25">
      <c r="A68" s="265"/>
      <c r="B68" s="283" t="s">
        <v>124</v>
      </c>
      <c r="C68" s="283"/>
      <c r="D68" s="283"/>
      <c r="E68" s="283"/>
      <c r="F68" s="33" t="s">
        <v>125</v>
      </c>
      <c r="G68" s="33">
        <f>+G18+G47+G49+G51+G53+G57+G58+G62</f>
        <v>33732.060000000005</v>
      </c>
      <c r="J68" s="13"/>
      <c r="K68" s="13"/>
      <c r="L68" s="13"/>
    </row>
    <row r="69" spans="1:12" s="12" customFormat="1" ht="17.25" hidden="1" customHeight="1" x14ac:dyDescent="0.25">
      <c r="A69" s="265"/>
      <c r="B69" s="283"/>
      <c r="C69" s="283"/>
      <c r="D69" s="283"/>
      <c r="E69" s="283"/>
      <c r="F69" s="33" t="s">
        <v>126</v>
      </c>
      <c r="G69" s="33">
        <f>IF(D7=0,"",G47+G49+G51+G57+G58+G62+G43)</f>
        <v>30361.23</v>
      </c>
      <c r="J69" s="13"/>
      <c r="K69" s="13"/>
      <c r="L69" s="13"/>
    </row>
    <row r="70" spans="1:12" ht="13.5" hidden="1" customHeight="1" x14ac:dyDescent="0.25">
      <c r="A70" s="265"/>
      <c r="G70" s="49"/>
    </row>
    <row r="71" spans="1:12" ht="12.75" hidden="1" customHeight="1" x14ac:dyDescent="0.25"/>
    <row r="72" spans="1:12" ht="12.75" hidden="1" customHeight="1" x14ac:dyDescent="0.25"/>
    <row r="73" spans="1:12" hidden="1" x14ac:dyDescent="0.25"/>
    <row r="74" spans="1:12" hidden="1" x14ac:dyDescent="0.25"/>
    <row r="75" spans="1:12" hidden="1" x14ac:dyDescent="0.25"/>
    <row r="76" spans="1:12" hidden="1" x14ac:dyDescent="0.25"/>
    <row r="77" spans="1:12" hidden="1" x14ac:dyDescent="0.25"/>
    <row r="78" spans="1:12" hidden="1" x14ac:dyDescent="0.25"/>
    <row r="79" spans="1:12" hidden="1" x14ac:dyDescent="0.25"/>
  </sheetData>
  <sheetProtection selectLockedCells="1"/>
  <customSheetViews>
    <customSheetView guid="{2F2906FD-A594-42FF-825D-21A69F4D3CD5}" scale="70" hiddenRows="1" hiddenColumns="1" topLeftCell="A2">
      <selection activeCell="E9" sqref="E9"/>
      <rowBreaks count="1" manualBreakCount="1">
        <brk id="65" max="7" man="1"/>
      </rowBreaks>
      <pageMargins left="0.70866141732283472" right="0.23622047244094491" top="0.52" bottom="0.51181102362204722" header="0.15748031496062992" footer="0.19685039370078741"/>
      <pageSetup paperSize="9" scale="62" orientation="portrait" r:id="rId1"/>
      <headerFooter alignWithMargins="0">
        <oddHeader>&amp;R&amp;G</oddHeader>
        <oddFooter>&amp;L&amp;"DIN-Regular,Standard"&amp;8ESN, pf
&amp;F
&amp;A&amp;C&amp;
&amp;"DIN-Regular,Standard"&amp;8 &amp;D
&amp;T&amp;R&amp;"DIN-Regular,Standard"&amp;8Seite &amp;P von &amp;N</oddFooter>
      </headerFooter>
    </customSheetView>
  </customSheetViews>
  <mergeCells count="15">
    <mergeCell ref="A1:A70"/>
    <mergeCell ref="B14:G14"/>
    <mergeCell ref="H4:H64"/>
    <mergeCell ref="B57:B58"/>
    <mergeCell ref="B1:G1"/>
    <mergeCell ref="B64:E64"/>
    <mergeCell ref="B3:H3"/>
    <mergeCell ref="D4:F4"/>
    <mergeCell ref="C62:F62"/>
    <mergeCell ref="B32:E32"/>
    <mergeCell ref="B41:E41"/>
    <mergeCell ref="B68:E69"/>
    <mergeCell ref="D47:F47"/>
    <mergeCell ref="D58:F58"/>
    <mergeCell ref="D57:F57"/>
  </mergeCells>
  <phoneticPr fontId="4" type="noConversion"/>
  <dataValidations count="3">
    <dataValidation type="list" allowBlank="1" showInputMessage="1" showErrorMessage="1" sqref="C49 C51:C53">
      <formula1>"Ja,Nein"</formula1>
    </dataValidation>
    <dataValidation type="list" showInputMessage="1" showErrorMessage="1" sqref="C47">
      <formula1>"G4,G6,G10,G16,G25,G40,G65,G100,G160,G250,G400,G650,G1000,G1600,G2500"</formula1>
    </dataValidation>
    <dataValidation type="decimal" allowBlank="1" showInputMessage="1" showErrorMessage="1" error="Bitte geben Sie eine Zahl ein" sqref="D6:D7">
      <formula1>0</formula1>
      <formula2>99999999999</formula2>
    </dataValidation>
  </dataValidations>
  <pageMargins left="0.78740157480314965" right="0.31496062992125984" top="1.41" bottom="0.70866141732283472" header="0.31496062992125984" footer="0.31496062992125984"/>
  <pageSetup paperSize="9" scale="64" orientation="portrait" horizontalDpi="300" verticalDpi="300" r:id="rId2"/>
  <headerFooter scaleWithDoc="0">
    <oddHeader>&amp;L
&amp;"DIN-Regular,Standard"&amp;8Ein Unternehmen
der Erdgas Südwest&amp;R&amp;G</oddHeader>
    <oddFooter xml:space="preserve">&amp;L&amp;"DIN-Light,Standard"&amp;6NGS N-Z, pf&amp;C&amp;"DIN-Light,Standard"&amp;6Seite &amp;P von &amp;N
&amp;R&amp;"DIN-Light,Standard"&amp;6&amp;D
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Zähldatenerfassung">
          <x14:formula1>
            <xm:f>Messtechnik!$B$32:$B$35</xm:f>
          </x14:formula1>
          <xm:sqref>C62:F62</xm:sqref>
        </x14:dataValidation>
        <x14:dataValidation type="list" allowBlank="1" showInputMessage="1" showErrorMessage="1">
          <x14:formula1>
            <xm:f>Messtechnik!$B$38:$B$39</xm:f>
          </x14:formula1>
          <xm:sqref>G6</xm:sqref>
        </x14:dataValidation>
        <x14:dataValidation type="list" allowBlank="1" showInputMessage="1" showErrorMessage="1" errorTitle="SLP" error="keine Zählerfernauslesung bei SLP-Verbrauchsstellen möglich_x000a_">
          <x14:formula1>
            <xm:f>Messtechnik!$B$23:$B$26</xm:f>
          </x14:formula1>
          <xm:sqref>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J39"/>
  <sheetViews>
    <sheetView topLeftCell="A19" workbookViewId="0">
      <selection activeCell="B65" sqref="B65"/>
    </sheetView>
  </sheetViews>
  <sheetFormatPr baseColWidth="10" defaultColWidth="11.42578125" defaultRowHeight="15.75" x14ac:dyDescent="0.25"/>
  <cols>
    <col min="1" max="1" width="4.5703125" style="88" customWidth="1"/>
    <col min="2" max="2" width="47.28515625" style="88" bestFit="1" customWidth="1"/>
    <col min="3" max="3" width="34.28515625" style="88" bestFit="1" customWidth="1"/>
    <col min="4" max="4" width="19.7109375" style="88" bestFit="1" customWidth="1"/>
    <col min="5" max="5" width="11" style="88" customWidth="1"/>
    <col min="6" max="6" width="25.5703125" style="88" bestFit="1" customWidth="1"/>
    <col min="7" max="7" width="16.140625" style="88" customWidth="1"/>
    <col min="8" max="9" width="11.42578125" style="88"/>
    <col min="10" max="10" width="34.85546875" style="88" bestFit="1" customWidth="1"/>
    <col min="11" max="16384" width="11.42578125" style="88"/>
  </cols>
  <sheetData>
    <row r="1" spans="1:5" s="87" customFormat="1" ht="20.25" customHeight="1" x14ac:dyDescent="0.25">
      <c r="A1" s="86" t="s">
        <v>42</v>
      </c>
    </row>
    <row r="2" spans="1:5" s="87" customFormat="1" ht="21" customHeight="1" x14ac:dyDescent="0.25">
      <c r="B2" s="86" t="s">
        <v>43</v>
      </c>
    </row>
    <row r="3" spans="1:5" s="87" customFormat="1" x14ac:dyDescent="0.25"/>
    <row r="4" spans="1:5" ht="16.5" thickBot="1" x14ac:dyDescent="0.3"/>
    <row r="5" spans="1:5" ht="16.5" thickBot="1" x14ac:dyDescent="0.3">
      <c r="B5" s="89" t="s">
        <v>38</v>
      </c>
      <c r="C5" s="90" t="s">
        <v>36</v>
      </c>
      <c r="D5" s="91" t="s">
        <v>37</v>
      </c>
      <c r="E5" s="88" t="s">
        <v>122</v>
      </c>
    </row>
    <row r="6" spans="1:5" x14ac:dyDescent="0.25">
      <c r="B6" s="92" t="s">
        <v>21</v>
      </c>
      <c r="C6" s="93">
        <v>37.65</v>
      </c>
      <c r="D6" s="94">
        <v>2.1</v>
      </c>
      <c r="E6" s="88">
        <v>1</v>
      </c>
    </row>
    <row r="7" spans="1:5" x14ac:dyDescent="0.25">
      <c r="B7" s="95" t="s">
        <v>22</v>
      </c>
      <c r="C7" s="96">
        <v>37.65</v>
      </c>
      <c r="D7" s="97">
        <f>+D6</f>
        <v>2.1</v>
      </c>
      <c r="E7" s="88">
        <v>0</v>
      </c>
    </row>
    <row r="8" spans="1:5" x14ac:dyDescent="0.25">
      <c r="B8" s="95" t="s">
        <v>23</v>
      </c>
      <c r="C8" s="96">
        <v>66.8</v>
      </c>
      <c r="D8" s="97">
        <f t="shared" ref="D8:D20" si="0">+D7</f>
        <v>2.1</v>
      </c>
      <c r="E8" s="88">
        <v>0</v>
      </c>
    </row>
    <row r="9" spans="1:5" x14ac:dyDescent="0.25">
      <c r="B9" s="95" t="s">
        <v>24</v>
      </c>
      <c r="C9" s="96">
        <v>66.8</v>
      </c>
      <c r="D9" s="97">
        <f t="shared" si="0"/>
        <v>2.1</v>
      </c>
      <c r="E9" s="88">
        <v>0</v>
      </c>
    </row>
    <row r="10" spans="1:5" x14ac:dyDescent="0.25">
      <c r="B10" s="95" t="s">
        <v>25</v>
      </c>
      <c r="C10" s="96">
        <v>66.8</v>
      </c>
      <c r="D10" s="97">
        <f t="shared" si="0"/>
        <v>2.1</v>
      </c>
      <c r="E10" s="88">
        <v>0</v>
      </c>
    </row>
    <row r="11" spans="1:5" x14ac:dyDescent="0.25">
      <c r="B11" s="95" t="s">
        <v>26</v>
      </c>
      <c r="C11" s="96">
        <v>98</v>
      </c>
      <c r="D11" s="97">
        <f t="shared" si="0"/>
        <v>2.1</v>
      </c>
      <c r="E11" s="88">
        <v>0</v>
      </c>
    </row>
    <row r="12" spans="1:5" x14ac:dyDescent="0.25">
      <c r="B12" s="95" t="s">
        <v>27</v>
      </c>
      <c r="C12" s="96">
        <v>98</v>
      </c>
      <c r="D12" s="97">
        <f t="shared" si="0"/>
        <v>2.1</v>
      </c>
      <c r="E12" s="88">
        <v>0</v>
      </c>
    </row>
    <row r="13" spans="1:5" ht="16.5" thickBot="1" x14ac:dyDescent="0.3">
      <c r="B13" s="95" t="s">
        <v>28</v>
      </c>
      <c r="C13" s="98">
        <v>98</v>
      </c>
      <c r="D13" s="99">
        <f t="shared" si="0"/>
        <v>2.1</v>
      </c>
      <c r="E13" s="88">
        <v>0</v>
      </c>
    </row>
    <row r="14" spans="1:5" x14ac:dyDescent="0.25">
      <c r="B14" s="92" t="s">
        <v>29</v>
      </c>
      <c r="C14" s="100">
        <v>230</v>
      </c>
      <c r="D14" s="97">
        <f t="shared" si="0"/>
        <v>2.1</v>
      </c>
      <c r="E14" s="88">
        <v>0</v>
      </c>
    </row>
    <row r="15" spans="1:5" x14ac:dyDescent="0.25">
      <c r="B15" s="95" t="s">
        <v>30</v>
      </c>
      <c r="C15" s="96">
        <v>230</v>
      </c>
      <c r="D15" s="97">
        <f t="shared" si="0"/>
        <v>2.1</v>
      </c>
      <c r="E15" s="88">
        <v>0</v>
      </c>
    </row>
    <row r="16" spans="1:5" x14ac:dyDescent="0.25">
      <c r="B16" s="95" t="s">
        <v>31</v>
      </c>
      <c r="C16" s="96">
        <v>480</v>
      </c>
      <c r="D16" s="97">
        <f t="shared" si="0"/>
        <v>2.1</v>
      </c>
      <c r="E16" s="88">
        <v>0</v>
      </c>
    </row>
    <row r="17" spans="2:10" x14ac:dyDescent="0.25">
      <c r="B17" s="95" t="s">
        <v>32</v>
      </c>
      <c r="C17" s="96">
        <v>480</v>
      </c>
      <c r="D17" s="97">
        <f t="shared" si="0"/>
        <v>2.1</v>
      </c>
      <c r="E17" s="88">
        <v>0</v>
      </c>
    </row>
    <row r="18" spans="2:10" x14ac:dyDescent="0.25">
      <c r="B18" s="95" t="s">
        <v>33</v>
      </c>
      <c r="C18" s="96">
        <v>590</v>
      </c>
      <c r="D18" s="97">
        <f t="shared" si="0"/>
        <v>2.1</v>
      </c>
      <c r="E18" s="88">
        <v>0</v>
      </c>
    </row>
    <row r="19" spans="2:10" x14ac:dyDescent="0.25">
      <c r="B19" s="95" t="s">
        <v>34</v>
      </c>
      <c r="C19" s="96">
        <v>590</v>
      </c>
      <c r="D19" s="97">
        <f t="shared" si="0"/>
        <v>2.1</v>
      </c>
      <c r="E19" s="88">
        <v>0</v>
      </c>
    </row>
    <row r="20" spans="2:10" ht="16.5" thickBot="1" x14ac:dyDescent="0.3">
      <c r="B20" s="101" t="s">
        <v>39</v>
      </c>
      <c r="C20" s="96">
        <v>590</v>
      </c>
      <c r="D20" s="97">
        <f t="shared" si="0"/>
        <v>2.1</v>
      </c>
      <c r="E20" s="88">
        <v>0</v>
      </c>
    </row>
    <row r="21" spans="2:10" x14ac:dyDescent="0.25">
      <c r="B21" s="102" t="s">
        <v>119</v>
      </c>
      <c r="C21" s="103">
        <v>940</v>
      </c>
      <c r="D21" s="100"/>
    </row>
    <row r="22" spans="2:10" ht="16.5" thickBot="1" x14ac:dyDescent="0.3">
      <c r="B22" s="104" t="s">
        <v>120</v>
      </c>
      <c r="C22" s="96">
        <v>1300</v>
      </c>
      <c r="D22" s="100"/>
    </row>
    <row r="23" spans="2:10" ht="31.5" x14ac:dyDescent="0.25">
      <c r="B23" s="105" t="str">
        <f>+"Zählerfernauslesung Standard 
max. 3*täglich"</f>
        <v>Zählerfernauslesung Standard 
max. 3*täglich</v>
      </c>
      <c r="C23" s="94"/>
      <c r="D23" s="93">
        <v>255</v>
      </c>
    </row>
    <row r="24" spans="2:10" ht="33" customHeight="1" x14ac:dyDescent="0.25">
      <c r="B24" s="106" t="str">
        <f>+"Zählerfernauslesung stündlich"</f>
        <v>Zählerfernauslesung stündlich</v>
      </c>
      <c r="C24" s="107"/>
      <c r="D24" s="100">
        <v>445</v>
      </c>
    </row>
    <row r="25" spans="2:10" ht="33" customHeight="1" x14ac:dyDescent="0.25">
      <c r="B25" s="108" t="str">
        <f>+"keine Fernauslesung bei SLP"</f>
        <v>keine Fernauslesung bei SLP</v>
      </c>
      <c r="C25" s="97"/>
      <c r="D25" s="100">
        <f>+D23</f>
        <v>255</v>
      </c>
      <c r="J25" s="109" t="s">
        <v>131</v>
      </c>
    </row>
    <row r="26" spans="2:10" ht="33" customHeight="1" thickBot="1" x14ac:dyDescent="0.3">
      <c r="B26" s="110" t="s">
        <v>129</v>
      </c>
      <c r="C26" s="111"/>
      <c r="D26" s="112">
        <v>0</v>
      </c>
      <c r="E26" s="113"/>
      <c r="J26" s="88" t="s">
        <v>117</v>
      </c>
    </row>
    <row r="27" spans="2:10" ht="20.25" customHeight="1" thickBot="1" x14ac:dyDescent="0.3">
      <c r="B27" s="101" t="s">
        <v>121</v>
      </c>
      <c r="C27" s="114">
        <v>30</v>
      </c>
    </row>
    <row r="28" spans="2:10" x14ac:dyDescent="0.25">
      <c r="B28" s="115"/>
      <c r="D28" s="113"/>
    </row>
    <row r="29" spans="2:10" ht="19.5" customHeight="1" x14ac:dyDescent="0.25">
      <c r="B29" s="116" t="s">
        <v>50</v>
      </c>
      <c r="C29" s="117"/>
      <c r="D29" s="118"/>
    </row>
    <row r="31" spans="2:10" ht="14.25" customHeight="1" x14ac:dyDescent="0.25"/>
    <row r="32" spans="2:10" ht="20.25" customHeight="1" x14ac:dyDescent="0.25">
      <c r="B32" s="119" t="s">
        <v>90</v>
      </c>
      <c r="C32" s="120" t="s">
        <v>82</v>
      </c>
      <c r="D32" s="121">
        <v>0</v>
      </c>
    </row>
    <row r="33" spans="2:6" ht="20.25" customHeight="1" x14ac:dyDescent="0.25">
      <c r="B33" s="122" t="s">
        <v>53</v>
      </c>
      <c r="C33" s="123"/>
      <c r="D33" s="124">
        <v>0</v>
      </c>
      <c r="F33" s="125"/>
    </row>
    <row r="34" spans="2:6" ht="20.25" customHeight="1" x14ac:dyDescent="0.25">
      <c r="B34" s="126" t="s">
        <v>130</v>
      </c>
      <c r="C34" s="123"/>
      <c r="D34" s="124">
        <v>240</v>
      </c>
      <c r="E34" s="113">
        <v>20</v>
      </c>
      <c r="F34" s="125" t="s">
        <v>115</v>
      </c>
    </row>
    <row r="35" spans="2:6" ht="20.25" customHeight="1" x14ac:dyDescent="0.25">
      <c r="B35" s="127" t="s">
        <v>89</v>
      </c>
      <c r="C35" s="128"/>
      <c r="D35" s="129">
        <v>360</v>
      </c>
      <c r="E35" s="289">
        <v>30</v>
      </c>
      <c r="F35" s="290" t="s">
        <v>116</v>
      </c>
    </row>
    <row r="36" spans="2:6" x14ac:dyDescent="0.25">
      <c r="B36" s="116"/>
      <c r="C36" s="130" t="s">
        <v>52</v>
      </c>
      <c r="D36" s="118">
        <v>0</v>
      </c>
      <c r="E36" s="289"/>
      <c r="F36" s="290"/>
    </row>
    <row r="38" spans="2:6" x14ac:dyDescent="0.25">
      <c r="B38" s="131" t="s">
        <v>19</v>
      </c>
    </row>
    <row r="39" spans="2:6" x14ac:dyDescent="0.25">
      <c r="B39" s="131" t="s">
        <v>20</v>
      </c>
    </row>
  </sheetData>
  <customSheetViews>
    <customSheetView guid="{2F2906FD-A594-42FF-825D-21A69F4D3CD5}" state="hidden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2">
    <mergeCell ref="E35:E36"/>
    <mergeCell ref="F35:F36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G46"/>
  <sheetViews>
    <sheetView workbookViewId="0">
      <selection activeCell="G46" sqref="G46"/>
    </sheetView>
  </sheetViews>
  <sheetFormatPr baseColWidth="10" defaultColWidth="11.42578125" defaultRowHeight="13.5" x14ac:dyDescent="0.25"/>
  <cols>
    <col min="1" max="1" width="2.140625" style="2" customWidth="1"/>
    <col min="2" max="2" width="11.42578125" style="2" customWidth="1"/>
    <col min="3" max="3" width="15.28515625" style="2" customWidth="1"/>
    <col min="4" max="4" width="16.85546875" style="2" customWidth="1"/>
    <col min="5" max="5" width="17" style="2" customWidth="1"/>
    <col min="6" max="6" width="19.140625" style="2" customWidth="1"/>
    <col min="7" max="7" width="20" style="2" customWidth="1"/>
    <col min="8" max="8" width="2.140625" style="2" customWidth="1"/>
    <col min="9" max="16384" width="11.42578125" style="2"/>
  </cols>
  <sheetData>
    <row r="1" spans="1:7" ht="28.5" customHeight="1" thickBot="1" x14ac:dyDescent="0.3">
      <c r="A1" s="132" t="s">
        <v>78</v>
      </c>
      <c r="B1" s="133"/>
      <c r="C1" s="133"/>
      <c r="D1" s="133"/>
      <c r="E1" s="133"/>
      <c r="F1" s="134"/>
      <c r="G1" s="135">
        <v>2019</v>
      </c>
    </row>
    <row r="2" spans="1:7" ht="6.75" customHeight="1" x14ac:dyDescent="0.25">
      <c r="A2" s="291"/>
      <c r="B2" s="293"/>
      <c r="C2" s="293"/>
      <c r="D2" s="293"/>
      <c r="E2" s="293"/>
      <c r="F2" s="293"/>
      <c r="G2" s="293"/>
    </row>
    <row r="3" spans="1:7" ht="6.75" customHeight="1" x14ac:dyDescent="0.25">
      <c r="A3" s="292"/>
    </row>
    <row r="4" spans="1:7" s="137" customFormat="1" ht="21.75" customHeight="1" x14ac:dyDescent="0.25">
      <c r="A4" s="292"/>
      <c r="B4" s="136" t="s">
        <v>62</v>
      </c>
      <c r="C4" s="294" t="s">
        <v>63</v>
      </c>
      <c r="D4" s="295"/>
      <c r="E4" s="295"/>
      <c r="F4" s="295"/>
      <c r="G4" s="296"/>
    </row>
    <row r="5" spans="1:7" s="138" customFormat="1" ht="5.25" customHeight="1" thickBot="1" x14ac:dyDescent="0.3">
      <c r="A5" s="292"/>
      <c r="G5" s="139"/>
    </row>
    <row r="6" spans="1:7" s="138" customFormat="1" ht="45.75" customHeight="1" x14ac:dyDescent="0.25">
      <c r="A6" s="292"/>
      <c r="B6" s="140" t="s">
        <v>44</v>
      </c>
      <c r="C6" s="297" t="s">
        <v>13</v>
      </c>
      <c r="D6" s="297"/>
      <c r="E6" s="141" t="s">
        <v>45</v>
      </c>
      <c r="F6" s="142" t="s">
        <v>54</v>
      </c>
      <c r="G6" s="143" t="s">
        <v>46</v>
      </c>
    </row>
    <row r="7" spans="1:7" s="138" customFormat="1" ht="18" customHeight="1" x14ac:dyDescent="0.25">
      <c r="A7" s="292"/>
      <c r="B7" s="144"/>
      <c r="C7" s="298" t="s">
        <v>8</v>
      </c>
      <c r="D7" s="298"/>
      <c r="E7" s="145" t="s">
        <v>79</v>
      </c>
      <c r="F7" s="145" t="s">
        <v>80</v>
      </c>
      <c r="G7" s="146" t="s">
        <v>81</v>
      </c>
    </row>
    <row r="8" spans="1:7" s="138" customFormat="1" ht="18" customHeight="1" thickBot="1" x14ac:dyDescent="0.3">
      <c r="A8" s="292"/>
      <c r="B8" s="147" t="s">
        <v>9</v>
      </c>
      <c r="C8" s="148" t="s">
        <v>10</v>
      </c>
      <c r="D8" s="148" t="s">
        <v>11</v>
      </c>
      <c r="E8" s="148" t="s">
        <v>47</v>
      </c>
      <c r="F8" s="148" t="s">
        <v>17</v>
      </c>
      <c r="G8" s="149" t="s">
        <v>15</v>
      </c>
    </row>
    <row r="9" spans="1:7" s="138" customFormat="1" ht="15" customHeight="1" x14ac:dyDescent="0.25">
      <c r="A9" s="292"/>
      <c r="B9" s="150">
        <v>1</v>
      </c>
      <c r="C9" s="151">
        <v>0</v>
      </c>
      <c r="D9" s="151">
        <v>10000</v>
      </c>
      <c r="E9" s="152">
        <v>0</v>
      </c>
      <c r="F9" s="151">
        <v>0</v>
      </c>
      <c r="G9" s="153">
        <v>1.3664000000000001</v>
      </c>
    </row>
    <row r="10" spans="1:7" s="138" customFormat="1" ht="15" customHeight="1" x14ac:dyDescent="0.25">
      <c r="A10" s="292"/>
      <c r="B10" s="154">
        <v>2</v>
      </c>
      <c r="C10" s="155">
        <v>10000</v>
      </c>
      <c r="D10" s="155">
        <v>20000</v>
      </c>
      <c r="E10" s="156">
        <v>136.63999999999999</v>
      </c>
      <c r="F10" s="155">
        <v>10000</v>
      </c>
      <c r="G10" s="157">
        <v>1.3663000000000001</v>
      </c>
    </row>
    <row r="11" spans="1:7" s="138" customFormat="1" ht="15" customHeight="1" x14ac:dyDescent="0.25">
      <c r="A11" s="292"/>
      <c r="B11" s="158">
        <v>3</v>
      </c>
      <c r="C11" s="159">
        <v>20000</v>
      </c>
      <c r="D11" s="159">
        <v>100000</v>
      </c>
      <c r="E11" s="160">
        <v>273.27</v>
      </c>
      <c r="F11" s="159">
        <v>20000</v>
      </c>
      <c r="G11" s="161">
        <v>1.3657999999999999</v>
      </c>
    </row>
    <row r="12" spans="1:7" s="138" customFormat="1" ht="15" customHeight="1" x14ac:dyDescent="0.25">
      <c r="A12" s="292"/>
      <c r="B12" s="154">
        <v>4</v>
      </c>
      <c r="C12" s="155">
        <v>100000</v>
      </c>
      <c r="D12" s="155">
        <v>250000</v>
      </c>
      <c r="E12" s="156">
        <v>1365.91</v>
      </c>
      <c r="F12" s="155">
        <v>100000</v>
      </c>
      <c r="G12" s="157">
        <v>1.3638999999999999</v>
      </c>
    </row>
    <row r="13" spans="1:7" s="138" customFormat="1" ht="15" customHeight="1" x14ac:dyDescent="0.25">
      <c r="A13" s="292"/>
      <c r="B13" s="158">
        <v>5</v>
      </c>
      <c r="C13" s="159">
        <v>250000</v>
      </c>
      <c r="D13" s="159">
        <v>500000</v>
      </c>
      <c r="E13" s="160">
        <v>3411.76</v>
      </c>
      <c r="F13" s="159">
        <v>250000</v>
      </c>
      <c r="G13" s="161">
        <v>1.359</v>
      </c>
    </row>
    <row r="14" spans="1:7" s="138" customFormat="1" ht="15" customHeight="1" x14ac:dyDescent="0.25">
      <c r="A14" s="292"/>
      <c r="B14" s="154">
        <v>6</v>
      </c>
      <c r="C14" s="155">
        <v>500000</v>
      </c>
      <c r="D14" s="155">
        <v>1000000</v>
      </c>
      <c r="E14" s="156">
        <v>6809.26</v>
      </c>
      <c r="F14" s="155">
        <v>500000</v>
      </c>
      <c r="G14" s="157">
        <v>1.3461000000000001</v>
      </c>
    </row>
    <row r="15" spans="1:7" s="138" customFormat="1" ht="15" customHeight="1" thickBot="1" x14ac:dyDescent="0.3">
      <c r="A15" s="292"/>
      <c r="B15" s="162">
        <v>7</v>
      </c>
      <c r="C15" s="163">
        <v>1000000</v>
      </c>
      <c r="D15" s="163"/>
      <c r="E15" s="164">
        <v>13539.76</v>
      </c>
      <c r="F15" s="163">
        <v>1000000</v>
      </c>
      <c r="G15" s="165">
        <v>1.3247</v>
      </c>
    </row>
    <row r="16" spans="1:7" ht="5.25" customHeight="1" x14ac:dyDescent="0.25">
      <c r="A16" s="292"/>
    </row>
    <row r="17" spans="1:7" ht="5.25" customHeight="1" x14ac:dyDescent="0.25">
      <c r="A17" s="292"/>
    </row>
    <row r="18" spans="1:7" ht="21.75" customHeight="1" x14ac:dyDescent="0.25">
      <c r="A18" s="292"/>
      <c r="B18" s="136" t="s">
        <v>69</v>
      </c>
      <c r="C18" s="294" t="s">
        <v>64</v>
      </c>
      <c r="D18" s="295"/>
      <c r="E18" s="295"/>
      <c r="F18" s="295"/>
      <c r="G18" s="296"/>
    </row>
    <row r="19" spans="1:7" ht="6.75" customHeight="1" thickBot="1" x14ac:dyDescent="0.3">
      <c r="A19" s="292"/>
    </row>
    <row r="20" spans="1:7" s="138" customFormat="1" ht="45.75" customHeight="1" x14ac:dyDescent="0.25">
      <c r="A20" s="292"/>
      <c r="B20" s="140" t="s">
        <v>44</v>
      </c>
      <c r="C20" s="297" t="s">
        <v>13</v>
      </c>
      <c r="D20" s="297"/>
      <c r="E20" s="141" t="s">
        <v>45</v>
      </c>
      <c r="F20" s="142" t="s">
        <v>54</v>
      </c>
      <c r="G20" s="143" t="s">
        <v>46</v>
      </c>
    </row>
    <row r="21" spans="1:7" s="138" customFormat="1" ht="18" customHeight="1" x14ac:dyDescent="0.25">
      <c r="A21" s="292"/>
      <c r="B21" s="144"/>
      <c r="C21" s="298" t="s">
        <v>8</v>
      </c>
      <c r="D21" s="298"/>
      <c r="E21" s="145" t="s">
        <v>79</v>
      </c>
      <c r="F21" s="145" t="s">
        <v>80</v>
      </c>
      <c r="G21" s="146" t="s">
        <v>81</v>
      </c>
    </row>
    <row r="22" spans="1:7" s="138" customFormat="1" ht="18" customHeight="1" thickBot="1" x14ac:dyDescent="0.3">
      <c r="A22" s="292"/>
      <c r="B22" s="147" t="s">
        <v>9</v>
      </c>
      <c r="C22" s="148" t="s">
        <v>10</v>
      </c>
      <c r="D22" s="148" t="s">
        <v>11</v>
      </c>
      <c r="E22" s="148" t="s">
        <v>47</v>
      </c>
      <c r="F22" s="148" t="s">
        <v>17</v>
      </c>
      <c r="G22" s="149" t="s">
        <v>15</v>
      </c>
    </row>
    <row r="23" spans="1:7" ht="15" customHeight="1" x14ac:dyDescent="0.25">
      <c r="A23" s="292"/>
      <c r="B23" s="150">
        <v>1</v>
      </c>
      <c r="C23" s="166">
        <v>0</v>
      </c>
      <c r="D23" s="166">
        <v>1750000</v>
      </c>
      <c r="E23" s="152">
        <v>0</v>
      </c>
      <c r="F23" s="166">
        <v>0</v>
      </c>
      <c r="G23" s="153">
        <v>0.32840000000000003</v>
      </c>
    </row>
    <row r="24" spans="1:7" ht="15" customHeight="1" x14ac:dyDescent="0.25">
      <c r="A24" s="292"/>
      <c r="B24" s="154">
        <v>2</v>
      </c>
      <c r="C24" s="167">
        <v>1750000</v>
      </c>
      <c r="D24" s="167">
        <v>2000000</v>
      </c>
      <c r="E24" s="156">
        <v>5747</v>
      </c>
      <c r="F24" s="167">
        <v>1750000</v>
      </c>
      <c r="G24" s="157">
        <v>0.32269999999999999</v>
      </c>
    </row>
    <row r="25" spans="1:7" ht="15" customHeight="1" x14ac:dyDescent="0.25">
      <c r="A25" s="292"/>
      <c r="B25" s="158">
        <v>3</v>
      </c>
      <c r="C25" s="168">
        <v>2000000</v>
      </c>
      <c r="D25" s="168">
        <v>3000000</v>
      </c>
      <c r="E25" s="160">
        <v>6553.75</v>
      </c>
      <c r="F25" s="168">
        <v>2000000</v>
      </c>
      <c r="G25" s="161">
        <v>0.31759999999999999</v>
      </c>
    </row>
    <row r="26" spans="1:7" ht="15" customHeight="1" x14ac:dyDescent="0.25">
      <c r="A26" s="292"/>
      <c r="B26" s="154">
        <v>4</v>
      </c>
      <c r="C26" s="167">
        <v>3000000</v>
      </c>
      <c r="D26" s="167">
        <v>5000000</v>
      </c>
      <c r="E26" s="156">
        <v>9729.75</v>
      </c>
      <c r="F26" s="167">
        <v>3000000</v>
      </c>
      <c r="G26" s="157">
        <v>0.30309999999999998</v>
      </c>
    </row>
    <row r="27" spans="1:7" ht="15" customHeight="1" x14ac:dyDescent="0.25">
      <c r="A27" s="292"/>
      <c r="B27" s="158">
        <v>5</v>
      </c>
      <c r="C27" s="168">
        <v>5000000</v>
      </c>
      <c r="D27" s="168">
        <v>7500000</v>
      </c>
      <c r="E27" s="160">
        <v>15791.75</v>
      </c>
      <c r="F27" s="168">
        <v>5000000</v>
      </c>
      <c r="G27" s="161">
        <v>0.27800000000000002</v>
      </c>
    </row>
    <row r="28" spans="1:7" ht="15" customHeight="1" x14ac:dyDescent="0.25">
      <c r="A28" s="292"/>
      <c r="B28" s="154">
        <v>6</v>
      </c>
      <c r="C28" s="167">
        <v>7500000</v>
      </c>
      <c r="D28" s="167">
        <v>10000000</v>
      </c>
      <c r="E28" s="156">
        <v>22741.75</v>
      </c>
      <c r="F28" s="167">
        <v>7500000</v>
      </c>
      <c r="G28" s="157">
        <v>0.24879999999999999</v>
      </c>
    </row>
    <row r="29" spans="1:7" ht="15" customHeight="1" x14ac:dyDescent="0.25">
      <c r="A29" s="292"/>
      <c r="B29" s="158">
        <v>7</v>
      </c>
      <c r="C29" s="168">
        <v>10000000</v>
      </c>
      <c r="D29" s="168">
        <v>25000000</v>
      </c>
      <c r="E29" s="160">
        <v>28961.75</v>
      </c>
      <c r="F29" s="168">
        <v>10000000</v>
      </c>
      <c r="G29" s="161">
        <v>0.1691</v>
      </c>
    </row>
    <row r="30" spans="1:7" ht="15" customHeight="1" thickBot="1" x14ac:dyDescent="0.3">
      <c r="A30" s="292"/>
      <c r="B30" s="169">
        <v>8</v>
      </c>
      <c r="C30" s="170">
        <v>25000000</v>
      </c>
      <c r="D30" s="170"/>
      <c r="E30" s="171">
        <v>54326.75</v>
      </c>
      <c r="F30" s="170">
        <v>25000000</v>
      </c>
      <c r="G30" s="172">
        <v>9.01E-2</v>
      </c>
    </row>
    <row r="31" spans="1:7" x14ac:dyDescent="0.25">
      <c r="A31" s="292"/>
    </row>
    <row r="32" spans="1:7" ht="21.75" customHeight="1" x14ac:dyDescent="0.25">
      <c r="A32" s="292"/>
      <c r="B32" s="136" t="s">
        <v>68</v>
      </c>
      <c r="C32" s="294" t="s">
        <v>65</v>
      </c>
      <c r="D32" s="295"/>
      <c r="E32" s="295"/>
      <c r="F32" s="295"/>
      <c r="G32" s="296"/>
    </row>
    <row r="33" spans="1:7" ht="7.5" customHeight="1" thickBot="1" x14ac:dyDescent="0.3">
      <c r="A33" s="292"/>
      <c r="B33" s="173"/>
    </row>
    <row r="34" spans="1:7" ht="45.75" customHeight="1" x14ac:dyDescent="0.25">
      <c r="A34" s="292"/>
      <c r="B34" s="140" t="s">
        <v>44</v>
      </c>
      <c r="C34" s="297" t="s">
        <v>6</v>
      </c>
      <c r="D34" s="297"/>
      <c r="E34" s="141" t="s">
        <v>45</v>
      </c>
      <c r="F34" s="142" t="s">
        <v>55</v>
      </c>
      <c r="G34" s="143" t="s">
        <v>7</v>
      </c>
    </row>
    <row r="35" spans="1:7" x14ac:dyDescent="0.25">
      <c r="A35" s="292"/>
      <c r="B35" s="144"/>
      <c r="C35" s="298" t="s">
        <v>8</v>
      </c>
      <c r="D35" s="298"/>
      <c r="E35" s="145" t="s">
        <v>139</v>
      </c>
      <c r="F35" s="145" t="s">
        <v>140</v>
      </c>
      <c r="G35" s="146" t="s">
        <v>141</v>
      </c>
    </row>
    <row r="36" spans="1:7" ht="14.25" thickBot="1" x14ac:dyDescent="0.3">
      <c r="A36" s="292"/>
      <c r="B36" s="147" t="s">
        <v>9</v>
      </c>
      <c r="C36" s="148" t="s">
        <v>56</v>
      </c>
      <c r="D36" s="148" t="s">
        <v>57</v>
      </c>
      <c r="E36" s="148" t="s">
        <v>47</v>
      </c>
      <c r="F36" s="148" t="s">
        <v>48</v>
      </c>
      <c r="G36" s="149" t="s">
        <v>12</v>
      </c>
    </row>
    <row r="37" spans="1:7" ht="15" customHeight="1" x14ac:dyDescent="0.25">
      <c r="A37" s="292"/>
      <c r="B37" s="174">
        <v>1</v>
      </c>
      <c r="C37" s="175">
        <v>0</v>
      </c>
      <c r="D37" s="175">
        <v>750</v>
      </c>
      <c r="E37" s="176">
        <v>0</v>
      </c>
      <c r="F37" s="175">
        <v>0</v>
      </c>
      <c r="G37" s="177">
        <v>20.3033</v>
      </c>
    </row>
    <row r="38" spans="1:7" ht="15" customHeight="1" x14ac:dyDescent="0.25">
      <c r="A38" s="292"/>
      <c r="B38" s="178">
        <v>2</v>
      </c>
      <c r="C38" s="179">
        <v>750</v>
      </c>
      <c r="D38" s="179">
        <v>1500</v>
      </c>
      <c r="E38" s="180">
        <v>15227.48</v>
      </c>
      <c r="F38" s="179">
        <v>750</v>
      </c>
      <c r="G38" s="181">
        <v>19.057700000000001</v>
      </c>
    </row>
    <row r="39" spans="1:7" ht="15" customHeight="1" x14ac:dyDescent="0.25">
      <c r="A39" s="292"/>
      <c r="B39" s="182">
        <v>3</v>
      </c>
      <c r="C39" s="183">
        <v>1500</v>
      </c>
      <c r="D39" s="183">
        <v>3000</v>
      </c>
      <c r="E39" s="184">
        <v>29520.76</v>
      </c>
      <c r="F39" s="183">
        <v>1500</v>
      </c>
      <c r="G39" s="185">
        <v>16.8903</v>
      </c>
    </row>
    <row r="40" spans="1:7" ht="15" customHeight="1" x14ac:dyDescent="0.25">
      <c r="A40" s="292"/>
      <c r="B40" s="178">
        <v>4</v>
      </c>
      <c r="C40" s="179">
        <v>3000</v>
      </c>
      <c r="D40" s="179">
        <v>5000</v>
      </c>
      <c r="E40" s="180">
        <v>54856.21</v>
      </c>
      <c r="F40" s="179">
        <v>3000</v>
      </c>
      <c r="G40" s="181">
        <v>14.018000000000001</v>
      </c>
    </row>
    <row r="41" spans="1:7" ht="15" customHeight="1" x14ac:dyDescent="0.25">
      <c r="A41" s="292"/>
      <c r="B41" s="182">
        <v>5</v>
      </c>
      <c r="C41" s="183">
        <v>5000</v>
      </c>
      <c r="D41" s="183">
        <v>7500</v>
      </c>
      <c r="E41" s="184">
        <v>82892.210000000006</v>
      </c>
      <c r="F41" s="183">
        <v>5000</v>
      </c>
      <c r="G41" s="185">
        <v>11.6127</v>
      </c>
    </row>
    <row r="42" spans="1:7" ht="15" customHeight="1" x14ac:dyDescent="0.25">
      <c r="A42" s="292"/>
      <c r="B42" s="178">
        <v>6</v>
      </c>
      <c r="C42" s="179">
        <v>7500</v>
      </c>
      <c r="D42" s="179">
        <v>10000</v>
      </c>
      <c r="E42" s="180">
        <v>111923.96</v>
      </c>
      <c r="F42" s="179">
        <v>7500</v>
      </c>
      <c r="G42" s="181">
        <v>10.149699999999999</v>
      </c>
    </row>
    <row r="43" spans="1:7" ht="15" customHeight="1" x14ac:dyDescent="0.25">
      <c r="A43" s="292"/>
      <c r="B43" s="182">
        <v>7</v>
      </c>
      <c r="C43" s="183">
        <v>10000</v>
      </c>
      <c r="D43" s="183">
        <v>25000</v>
      </c>
      <c r="E43" s="184">
        <v>137298.21</v>
      </c>
      <c r="F43" s="183">
        <v>10000</v>
      </c>
      <c r="G43" s="185">
        <v>8.9047999999999998</v>
      </c>
    </row>
    <row r="44" spans="1:7" ht="15" customHeight="1" x14ac:dyDescent="0.25">
      <c r="A44" s="292"/>
      <c r="B44" s="178">
        <v>8</v>
      </c>
      <c r="C44" s="179">
        <v>25000</v>
      </c>
      <c r="D44" s="179">
        <v>50000</v>
      </c>
      <c r="E44" s="180">
        <v>270870.21000000002</v>
      </c>
      <c r="F44" s="179">
        <v>25000</v>
      </c>
      <c r="G44" s="181">
        <v>8.7667999999999999</v>
      </c>
    </row>
    <row r="45" spans="1:7" ht="15" customHeight="1" x14ac:dyDescent="0.25">
      <c r="A45" s="292"/>
      <c r="B45" s="182">
        <v>9</v>
      </c>
      <c r="C45" s="183">
        <v>50000</v>
      </c>
      <c r="D45" s="183">
        <v>75000</v>
      </c>
      <c r="E45" s="184">
        <v>490040.21</v>
      </c>
      <c r="F45" s="183">
        <v>50000</v>
      </c>
      <c r="G45" s="185">
        <v>8.8968000000000007</v>
      </c>
    </row>
    <row r="46" spans="1:7" ht="15" customHeight="1" thickBot="1" x14ac:dyDescent="0.3">
      <c r="A46" s="292"/>
      <c r="B46" s="186">
        <v>10</v>
      </c>
      <c r="C46" s="187">
        <v>75000</v>
      </c>
      <c r="D46" s="187">
        <v>500000</v>
      </c>
      <c r="E46" s="188">
        <v>712460.21</v>
      </c>
      <c r="F46" s="187">
        <v>75000</v>
      </c>
      <c r="G46" s="189">
        <v>9.0591000000000008</v>
      </c>
    </row>
  </sheetData>
  <customSheetViews>
    <customSheetView guid="{2F2906FD-A594-42FF-825D-21A69F4D3CD5}" state="hidden">
      <pageMargins left="0.7" right="0.7" top="0.78740157499999996" bottom="0.78740157499999996" header="0.3" footer="0.3"/>
    </customSheetView>
  </customSheetViews>
  <mergeCells count="11">
    <mergeCell ref="A2:A46"/>
    <mergeCell ref="B2:G2"/>
    <mergeCell ref="C32:G32"/>
    <mergeCell ref="C34:D34"/>
    <mergeCell ref="C35:D35"/>
    <mergeCell ref="C4:G4"/>
    <mergeCell ref="C18:G18"/>
    <mergeCell ref="C20:D20"/>
    <mergeCell ref="C21:D21"/>
    <mergeCell ref="C6:D6"/>
    <mergeCell ref="C7:D7"/>
  </mergeCells>
  <pageMargins left="0.8" right="0.3" top="0.7" bottom="0.7" header="0.3" footer="0.3"/>
  <pageSetup paperSize="9" scale="95" orientation="portrait" verticalDpi="598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5"/>
    <pageSetUpPr fitToPage="1"/>
  </sheetPr>
  <dimension ref="A1:G46"/>
  <sheetViews>
    <sheetView workbookViewId="0">
      <selection activeCell="F53" sqref="F53"/>
    </sheetView>
  </sheetViews>
  <sheetFormatPr baseColWidth="10" defaultColWidth="11.42578125" defaultRowHeight="13.5" x14ac:dyDescent="0.25"/>
  <cols>
    <col min="1" max="1" width="2.140625" style="2" customWidth="1"/>
    <col min="2" max="2" width="11.42578125" style="2" customWidth="1"/>
    <col min="3" max="3" width="15.28515625" style="2" customWidth="1"/>
    <col min="4" max="4" width="16.85546875" style="2" customWidth="1"/>
    <col min="5" max="5" width="17" style="2" customWidth="1"/>
    <col min="6" max="6" width="19.140625" style="2" customWidth="1"/>
    <col min="7" max="7" width="20" style="2" customWidth="1"/>
    <col min="8" max="8" width="2.140625" style="2" customWidth="1"/>
    <col min="9" max="16384" width="11.42578125" style="2"/>
  </cols>
  <sheetData>
    <row r="1" spans="1:7" ht="28.5" customHeight="1" thickBot="1" x14ac:dyDescent="0.3">
      <c r="A1" s="132" t="s">
        <v>78</v>
      </c>
      <c r="B1" s="133"/>
      <c r="C1" s="133"/>
      <c r="D1" s="133"/>
      <c r="E1" s="133"/>
      <c r="F1" s="134"/>
      <c r="G1" s="135">
        <v>2019</v>
      </c>
    </row>
    <row r="2" spans="1:7" ht="6.75" customHeight="1" x14ac:dyDescent="0.25">
      <c r="A2" s="291"/>
      <c r="B2" s="293"/>
      <c r="C2" s="293"/>
      <c r="D2" s="293"/>
      <c r="E2" s="293"/>
      <c r="F2" s="293"/>
      <c r="G2" s="293"/>
    </row>
    <row r="3" spans="1:7" ht="6.75" customHeight="1" x14ac:dyDescent="0.25">
      <c r="A3" s="292"/>
    </row>
    <row r="4" spans="1:7" s="137" customFormat="1" ht="21.75" customHeight="1" x14ac:dyDescent="0.25">
      <c r="A4" s="292"/>
      <c r="B4" s="136" t="s">
        <v>62</v>
      </c>
      <c r="C4" s="294" t="s">
        <v>63</v>
      </c>
      <c r="D4" s="295"/>
      <c r="E4" s="295"/>
      <c r="F4" s="295"/>
      <c r="G4" s="296"/>
    </row>
    <row r="5" spans="1:7" s="138" customFormat="1" ht="5.25" customHeight="1" thickBot="1" x14ac:dyDescent="0.3">
      <c r="A5" s="292"/>
      <c r="G5" s="139"/>
    </row>
    <row r="6" spans="1:7" s="138" customFormat="1" ht="45.75" customHeight="1" x14ac:dyDescent="0.25">
      <c r="A6" s="292"/>
      <c r="B6" s="140" t="s">
        <v>44</v>
      </c>
      <c r="C6" s="297" t="s">
        <v>13</v>
      </c>
      <c r="D6" s="297"/>
      <c r="E6" s="141" t="s">
        <v>45</v>
      </c>
      <c r="F6" s="142" t="s">
        <v>54</v>
      </c>
      <c r="G6" s="143" t="s">
        <v>46</v>
      </c>
    </row>
    <row r="7" spans="1:7" s="138" customFormat="1" ht="18" customHeight="1" x14ac:dyDescent="0.25">
      <c r="A7" s="292"/>
      <c r="B7" s="144"/>
      <c r="C7" s="298" t="s">
        <v>8</v>
      </c>
      <c r="D7" s="298"/>
      <c r="E7" s="145" t="s">
        <v>79</v>
      </c>
      <c r="F7" s="145" t="s">
        <v>80</v>
      </c>
      <c r="G7" s="146" t="s">
        <v>81</v>
      </c>
    </row>
    <row r="8" spans="1:7" s="138" customFormat="1" ht="18" customHeight="1" thickBot="1" x14ac:dyDescent="0.3">
      <c r="A8" s="292"/>
      <c r="B8" s="147" t="s">
        <v>9</v>
      </c>
      <c r="C8" s="148" t="s">
        <v>10</v>
      </c>
      <c r="D8" s="148" t="s">
        <v>11</v>
      </c>
      <c r="E8" s="148" t="s">
        <v>47</v>
      </c>
      <c r="F8" s="148" t="s">
        <v>17</v>
      </c>
      <c r="G8" s="149" t="s">
        <v>15</v>
      </c>
    </row>
    <row r="9" spans="1:7" s="138" customFormat="1" ht="15" customHeight="1" x14ac:dyDescent="0.25">
      <c r="A9" s="292"/>
      <c r="B9" s="150">
        <v>1</v>
      </c>
      <c r="C9" s="151">
        <v>0</v>
      </c>
      <c r="D9" s="151">
        <v>10000</v>
      </c>
      <c r="E9" s="152">
        <v>0</v>
      </c>
      <c r="F9" s="151">
        <v>0</v>
      </c>
      <c r="G9" s="153">
        <v>1.3664000000000001</v>
      </c>
    </row>
    <row r="10" spans="1:7" s="138" customFormat="1" ht="15" customHeight="1" x14ac:dyDescent="0.25">
      <c r="A10" s="292"/>
      <c r="B10" s="154">
        <v>2</v>
      </c>
      <c r="C10" s="155">
        <v>10000</v>
      </c>
      <c r="D10" s="155">
        <v>20000</v>
      </c>
      <c r="E10" s="156">
        <v>136.63999999999999</v>
      </c>
      <c r="F10" s="155">
        <v>10000</v>
      </c>
      <c r="G10" s="157">
        <v>1.3663000000000001</v>
      </c>
    </row>
    <row r="11" spans="1:7" s="138" customFormat="1" ht="15" customHeight="1" x14ac:dyDescent="0.25">
      <c r="A11" s="292"/>
      <c r="B11" s="158">
        <v>3</v>
      </c>
      <c r="C11" s="159">
        <v>20000</v>
      </c>
      <c r="D11" s="159">
        <v>100000</v>
      </c>
      <c r="E11" s="160">
        <v>273.27</v>
      </c>
      <c r="F11" s="159">
        <v>20000</v>
      </c>
      <c r="G11" s="161">
        <v>1.3657999999999999</v>
      </c>
    </row>
    <row r="12" spans="1:7" s="138" customFormat="1" ht="15" customHeight="1" x14ac:dyDescent="0.25">
      <c r="A12" s="292"/>
      <c r="B12" s="154">
        <v>4</v>
      </c>
      <c r="C12" s="155">
        <v>100000</v>
      </c>
      <c r="D12" s="155">
        <v>250000</v>
      </c>
      <c r="E12" s="156">
        <v>1365.91</v>
      </c>
      <c r="F12" s="155">
        <v>100000</v>
      </c>
      <c r="G12" s="157">
        <v>1.3638999999999999</v>
      </c>
    </row>
    <row r="13" spans="1:7" s="138" customFormat="1" ht="15" customHeight="1" x14ac:dyDescent="0.25">
      <c r="A13" s="292"/>
      <c r="B13" s="158">
        <v>5</v>
      </c>
      <c r="C13" s="159">
        <v>250000</v>
      </c>
      <c r="D13" s="159">
        <v>500000</v>
      </c>
      <c r="E13" s="160">
        <v>3411.76</v>
      </c>
      <c r="F13" s="159">
        <v>250000</v>
      </c>
      <c r="G13" s="161">
        <v>1.359</v>
      </c>
    </row>
    <row r="14" spans="1:7" s="138" customFormat="1" ht="15" customHeight="1" x14ac:dyDescent="0.25">
      <c r="A14" s="292"/>
      <c r="B14" s="154">
        <v>6</v>
      </c>
      <c r="C14" s="155">
        <v>500000</v>
      </c>
      <c r="D14" s="155">
        <v>1000000</v>
      </c>
      <c r="E14" s="156">
        <v>6809.26</v>
      </c>
      <c r="F14" s="155">
        <v>500000</v>
      </c>
      <c r="G14" s="157">
        <v>1.3461000000000001</v>
      </c>
    </row>
    <row r="15" spans="1:7" s="138" customFormat="1" ht="15" customHeight="1" thickBot="1" x14ac:dyDescent="0.3">
      <c r="A15" s="292"/>
      <c r="B15" s="162">
        <v>7</v>
      </c>
      <c r="C15" s="163">
        <v>1000000</v>
      </c>
      <c r="D15" s="163"/>
      <c r="E15" s="164">
        <v>13539.76</v>
      </c>
      <c r="F15" s="163">
        <v>1000000</v>
      </c>
      <c r="G15" s="165">
        <v>1.3247</v>
      </c>
    </row>
    <row r="16" spans="1:7" ht="5.25" customHeight="1" x14ac:dyDescent="0.25">
      <c r="A16" s="292"/>
    </row>
    <row r="17" spans="1:7" ht="5.25" customHeight="1" x14ac:dyDescent="0.25">
      <c r="A17" s="292"/>
    </row>
    <row r="18" spans="1:7" ht="21.75" customHeight="1" x14ac:dyDescent="0.25">
      <c r="A18" s="292"/>
      <c r="B18" s="136" t="s">
        <v>69</v>
      </c>
      <c r="C18" s="294" t="s">
        <v>64</v>
      </c>
      <c r="D18" s="295"/>
      <c r="E18" s="295"/>
      <c r="F18" s="295"/>
      <c r="G18" s="296"/>
    </row>
    <row r="19" spans="1:7" ht="6.75" customHeight="1" thickBot="1" x14ac:dyDescent="0.3">
      <c r="A19" s="292"/>
    </row>
    <row r="20" spans="1:7" s="138" customFormat="1" ht="45.75" customHeight="1" x14ac:dyDescent="0.25">
      <c r="A20" s="292"/>
      <c r="B20" s="140" t="s">
        <v>44</v>
      </c>
      <c r="C20" s="297" t="s">
        <v>13</v>
      </c>
      <c r="D20" s="297"/>
      <c r="E20" s="141" t="s">
        <v>45</v>
      </c>
      <c r="F20" s="142" t="s">
        <v>54</v>
      </c>
      <c r="G20" s="143" t="s">
        <v>46</v>
      </c>
    </row>
    <row r="21" spans="1:7" s="138" customFormat="1" ht="18" customHeight="1" x14ac:dyDescent="0.25">
      <c r="A21" s="292"/>
      <c r="B21" s="144"/>
      <c r="C21" s="298" t="s">
        <v>8</v>
      </c>
      <c r="D21" s="298"/>
      <c r="E21" s="145" t="s">
        <v>79</v>
      </c>
      <c r="F21" s="145" t="s">
        <v>80</v>
      </c>
      <c r="G21" s="146" t="s">
        <v>81</v>
      </c>
    </row>
    <row r="22" spans="1:7" s="138" customFormat="1" ht="18" customHeight="1" thickBot="1" x14ac:dyDescent="0.3">
      <c r="A22" s="292"/>
      <c r="B22" s="147" t="s">
        <v>9</v>
      </c>
      <c r="C22" s="148" t="s">
        <v>10</v>
      </c>
      <c r="D22" s="148" t="s">
        <v>11</v>
      </c>
      <c r="E22" s="148" t="s">
        <v>47</v>
      </c>
      <c r="F22" s="148" t="s">
        <v>17</v>
      </c>
      <c r="G22" s="149" t="s">
        <v>15</v>
      </c>
    </row>
    <row r="23" spans="1:7" ht="15" customHeight="1" x14ac:dyDescent="0.25">
      <c r="A23" s="292"/>
      <c r="B23" s="150">
        <v>1</v>
      </c>
      <c r="C23" s="166">
        <v>0</v>
      </c>
      <c r="D23" s="166">
        <v>1750000</v>
      </c>
      <c r="E23" s="152">
        <v>0</v>
      </c>
      <c r="F23" s="166">
        <v>0</v>
      </c>
      <c r="G23" s="153">
        <v>0.32840000000000003</v>
      </c>
    </row>
    <row r="24" spans="1:7" ht="15" customHeight="1" x14ac:dyDescent="0.25">
      <c r="A24" s="292"/>
      <c r="B24" s="154">
        <v>2</v>
      </c>
      <c r="C24" s="167">
        <v>1750000</v>
      </c>
      <c r="D24" s="167">
        <v>2000000</v>
      </c>
      <c r="E24" s="156">
        <v>5747</v>
      </c>
      <c r="F24" s="167">
        <v>1750000</v>
      </c>
      <c r="G24" s="157">
        <v>0.32269999999999999</v>
      </c>
    </row>
    <row r="25" spans="1:7" ht="15" customHeight="1" x14ac:dyDescent="0.25">
      <c r="A25" s="292"/>
      <c r="B25" s="158">
        <v>3</v>
      </c>
      <c r="C25" s="168">
        <v>2000000</v>
      </c>
      <c r="D25" s="168">
        <v>3000000</v>
      </c>
      <c r="E25" s="160">
        <v>6553.75</v>
      </c>
      <c r="F25" s="168">
        <v>2000000</v>
      </c>
      <c r="G25" s="161">
        <v>0.31759999999999999</v>
      </c>
    </row>
    <row r="26" spans="1:7" ht="15" customHeight="1" x14ac:dyDescent="0.25">
      <c r="A26" s="292"/>
      <c r="B26" s="154">
        <v>4</v>
      </c>
      <c r="C26" s="167">
        <v>3000000</v>
      </c>
      <c r="D26" s="167">
        <v>5000000</v>
      </c>
      <c r="E26" s="156">
        <v>9729.75</v>
      </c>
      <c r="F26" s="167">
        <v>3000000</v>
      </c>
      <c r="G26" s="157">
        <v>0.30309999999999998</v>
      </c>
    </row>
    <row r="27" spans="1:7" ht="15" customHeight="1" x14ac:dyDescent="0.25">
      <c r="A27" s="292"/>
      <c r="B27" s="158">
        <v>5</v>
      </c>
      <c r="C27" s="168">
        <v>5000000</v>
      </c>
      <c r="D27" s="168">
        <v>7500000</v>
      </c>
      <c r="E27" s="160">
        <v>15791.75</v>
      </c>
      <c r="F27" s="168">
        <v>5000000</v>
      </c>
      <c r="G27" s="161">
        <v>0.27800000000000002</v>
      </c>
    </row>
    <row r="28" spans="1:7" ht="15" customHeight="1" x14ac:dyDescent="0.25">
      <c r="A28" s="292"/>
      <c r="B28" s="154">
        <v>6</v>
      </c>
      <c r="C28" s="167">
        <v>7500000</v>
      </c>
      <c r="D28" s="167">
        <v>10000000</v>
      </c>
      <c r="E28" s="156">
        <v>22741.75</v>
      </c>
      <c r="F28" s="167">
        <v>7500000</v>
      </c>
      <c r="G28" s="157">
        <v>0.24879999999999999</v>
      </c>
    </row>
    <row r="29" spans="1:7" ht="15" customHeight="1" x14ac:dyDescent="0.25">
      <c r="A29" s="292"/>
      <c r="B29" s="158">
        <v>7</v>
      </c>
      <c r="C29" s="168">
        <v>10000000</v>
      </c>
      <c r="D29" s="168">
        <v>25000000</v>
      </c>
      <c r="E29" s="160">
        <v>28961.75</v>
      </c>
      <c r="F29" s="168">
        <v>10000000</v>
      </c>
      <c r="G29" s="161">
        <v>0.1691</v>
      </c>
    </row>
    <row r="30" spans="1:7" ht="15" customHeight="1" thickBot="1" x14ac:dyDescent="0.3">
      <c r="A30" s="292"/>
      <c r="B30" s="169">
        <v>8</v>
      </c>
      <c r="C30" s="170">
        <v>25000000</v>
      </c>
      <c r="D30" s="170"/>
      <c r="E30" s="171">
        <v>54326.75</v>
      </c>
      <c r="F30" s="170">
        <v>25000000</v>
      </c>
      <c r="G30" s="172">
        <v>9.01E-2</v>
      </c>
    </row>
    <row r="31" spans="1:7" x14ac:dyDescent="0.25">
      <c r="A31" s="292"/>
    </row>
    <row r="32" spans="1:7" ht="21.75" customHeight="1" x14ac:dyDescent="0.25">
      <c r="A32" s="292"/>
      <c r="B32" s="136" t="s">
        <v>68</v>
      </c>
      <c r="C32" s="294" t="s">
        <v>65</v>
      </c>
      <c r="D32" s="295"/>
      <c r="E32" s="295"/>
      <c r="F32" s="295"/>
      <c r="G32" s="296"/>
    </row>
    <row r="33" spans="1:7" ht="7.5" customHeight="1" thickBot="1" x14ac:dyDescent="0.3">
      <c r="A33" s="292"/>
      <c r="B33" s="173"/>
    </row>
    <row r="34" spans="1:7" ht="45.75" customHeight="1" x14ac:dyDescent="0.25">
      <c r="A34" s="292"/>
      <c r="B34" s="140" t="s">
        <v>44</v>
      </c>
      <c r="C34" s="297" t="s">
        <v>6</v>
      </c>
      <c r="D34" s="297"/>
      <c r="E34" s="141" t="s">
        <v>45</v>
      </c>
      <c r="F34" s="142" t="s">
        <v>55</v>
      </c>
      <c r="G34" s="143" t="s">
        <v>7</v>
      </c>
    </row>
    <row r="35" spans="1:7" x14ac:dyDescent="0.25">
      <c r="A35" s="292"/>
      <c r="B35" s="144"/>
      <c r="C35" s="298" t="s">
        <v>8</v>
      </c>
      <c r="D35" s="298"/>
      <c r="E35" s="145" t="s">
        <v>139</v>
      </c>
      <c r="F35" s="145" t="s">
        <v>140</v>
      </c>
      <c r="G35" s="146" t="s">
        <v>141</v>
      </c>
    </row>
    <row r="36" spans="1:7" ht="14.25" thickBot="1" x14ac:dyDescent="0.3">
      <c r="A36" s="292"/>
      <c r="B36" s="147" t="s">
        <v>9</v>
      </c>
      <c r="C36" s="148" t="s">
        <v>56</v>
      </c>
      <c r="D36" s="148" t="s">
        <v>57</v>
      </c>
      <c r="E36" s="148" t="s">
        <v>47</v>
      </c>
      <c r="F36" s="148" t="s">
        <v>48</v>
      </c>
      <c r="G36" s="149" t="s">
        <v>12</v>
      </c>
    </row>
    <row r="37" spans="1:7" ht="15" customHeight="1" x14ac:dyDescent="0.25">
      <c r="A37" s="292"/>
      <c r="B37" s="174">
        <v>1</v>
      </c>
      <c r="C37" s="175">
        <v>0</v>
      </c>
      <c r="D37" s="175">
        <v>750</v>
      </c>
      <c r="E37" s="176">
        <v>0</v>
      </c>
      <c r="F37" s="175">
        <v>0</v>
      </c>
      <c r="G37" s="177">
        <v>20.3033</v>
      </c>
    </row>
    <row r="38" spans="1:7" ht="15" customHeight="1" x14ac:dyDescent="0.25">
      <c r="A38" s="292"/>
      <c r="B38" s="178">
        <v>2</v>
      </c>
      <c r="C38" s="179">
        <v>750</v>
      </c>
      <c r="D38" s="179">
        <v>1500</v>
      </c>
      <c r="E38" s="180">
        <v>15227.48</v>
      </c>
      <c r="F38" s="179">
        <v>750</v>
      </c>
      <c r="G38" s="181">
        <v>19.057700000000001</v>
      </c>
    </row>
    <row r="39" spans="1:7" ht="15" customHeight="1" x14ac:dyDescent="0.25">
      <c r="A39" s="292"/>
      <c r="B39" s="182">
        <v>3</v>
      </c>
      <c r="C39" s="183">
        <v>1500</v>
      </c>
      <c r="D39" s="183">
        <v>3000</v>
      </c>
      <c r="E39" s="184">
        <v>29520.76</v>
      </c>
      <c r="F39" s="183">
        <v>1500</v>
      </c>
      <c r="G39" s="185">
        <v>16.8903</v>
      </c>
    </row>
    <row r="40" spans="1:7" ht="15" customHeight="1" x14ac:dyDescent="0.25">
      <c r="A40" s="292"/>
      <c r="B40" s="178">
        <v>4</v>
      </c>
      <c r="C40" s="179">
        <v>3000</v>
      </c>
      <c r="D40" s="179">
        <v>5000</v>
      </c>
      <c r="E40" s="180">
        <v>54856.21</v>
      </c>
      <c r="F40" s="179">
        <v>3000</v>
      </c>
      <c r="G40" s="181">
        <v>14.018000000000001</v>
      </c>
    </row>
    <row r="41" spans="1:7" ht="15" customHeight="1" x14ac:dyDescent="0.25">
      <c r="A41" s="292"/>
      <c r="B41" s="182">
        <v>5</v>
      </c>
      <c r="C41" s="183">
        <v>5000</v>
      </c>
      <c r="D41" s="183">
        <v>7500</v>
      </c>
      <c r="E41" s="184">
        <v>82892.210000000006</v>
      </c>
      <c r="F41" s="183">
        <v>5000</v>
      </c>
      <c r="G41" s="185">
        <v>11.6127</v>
      </c>
    </row>
    <row r="42" spans="1:7" ht="15" customHeight="1" x14ac:dyDescent="0.25">
      <c r="A42" s="292"/>
      <c r="B42" s="178">
        <v>6</v>
      </c>
      <c r="C42" s="179">
        <v>7500</v>
      </c>
      <c r="D42" s="179">
        <v>10000</v>
      </c>
      <c r="E42" s="180">
        <v>111923.96</v>
      </c>
      <c r="F42" s="179">
        <v>7500</v>
      </c>
      <c r="G42" s="181">
        <v>10.149699999999999</v>
      </c>
    </row>
    <row r="43" spans="1:7" ht="15" customHeight="1" x14ac:dyDescent="0.25">
      <c r="A43" s="292"/>
      <c r="B43" s="182">
        <v>7</v>
      </c>
      <c r="C43" s="183">
        <v>10000</v>
      </c>
      <c r="D43" s="183">
        <v>25000</v>
      </c>
      <c r="E43" s="184">
        <v>137298.21</v>
      </c>
      <c r="F43" s="183">
        <v>10000</v>
      </c>
      <c r="G43" s="185">
        <v>8.9047999999999998</v>
      </c>
    </row>
    <row r="44" spans="1:7" ht="15" customHeight="1" x14ac:dyDescent="0.25">
      <c r="A44" s="292"/>
      <c r="B44" s="178">
        <v>8</v>
      </c>
      <c r="C44" s="179">
        <v>25000</v>
      </c>
      <c r="D44" s="179">
        <v>50000</v>
      </c>
      <c r="E44" s="180">
        <v>270870.21000000002</v>
      </c>
      <c r="F44" s="179">
        <v>25000</v>
      </c>
      <c r="G44" s="181">
        <v>8.7667999999999999</v>
      </c>
    </row>
    <row r="45" spans="1:7" ht="15" customHeight="1" x14ac:dyDescent="0.25">
      <c r="A45" s="292"/>
      <c r="B45" s="182">
        <v>9</v>
      </c>
      <c r="C45" s="183">
        <v>50000</v>
      </c>
      <c r="D45" s="183">
        <v>75000</v>
      </c>
      <c r="E45" s="184">
        <v>490040.21</v>
      </c>
      <c r="F45" s="183">
        <v>50000</v>
      </c>
      <c r="G45" s="185">
        <v>8.8968000000000007</v>
      </c>
    </row>
    <row r="46" spans="1:7" ht="15" customHeight="1" thickBot="1" x14ac:dyDescent="0.3">
      <c r="A46" s="292"/>
      <c r="B46" s="186">
        <v>10</v>
      </c>
      <c r="C46" s="187">
        <v>75000</v>
      </c>
      <c r="D46" s="187">
        <v>500000</v>
      </c>
      <c r="E46" s="188">
        <v>712460.21</v>
      </c>
      <c r="F46" s="187">
        <v>75000</v>
      </c>
      <c r="G46" s="189">
        <v>9.0591000000000008</v>
      </c>
    </row>
  </sheetData>
  <mergeCells count="11">
    <mergeCell ref="C35:D35"/>
    <mergeCell ref="A2:A46"/>
    <mergeCell ref="B2:G2"/>
    <mergeCell ref="C4:G4"/>
    <mergeCell ref="C6:D6"/>
    <mergeCell ref="C7:D7"/>
    <mergeCell ref="C18:G18"/>
    <mergeCell ref="C20:D20"/>
    <mergeCell ref="C21:D21"/>
    <mergeCell ref="C32:G32"/>
    <mergeCell ref="C34:D34"/>
  </mergeCells>
  <pageMargins left="0.8" right="0.3" top="0.7" bottom="0.7" header="0.3" footer="0.3"/>
  <pageSetup paperSize="9" scale="95" orientation="portrait" verticalDpi="598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H62"/>
  <sheetViews>
    <sheetView workbookViewId="0">
      <selection activeCell="E8" sqref="E8"/>
    </sheetView>
  </sheetViews>
  <sheetFormatPr baseColWidth="10" defaultColWidth="0" defaultRowHeight="13.5" zeroHeight="1" outlineLevelCol="1" x14ac:dyDescent="0.25"/>
  <cols>
    <col min="1" max="1" width="1.42578125" style="194" customWidth="1"/>
    <col min="2" max="2" width="18" style="193" customWidth="1" outlineLevel="1"/>
    <col min="3" max="3" width="29.5703125" style="193" customWidth="1" outlineLevel="1"/>
    <col min="4" max="4" width="18.42578125" style="193" customWidth="1" outlineLevel="1"/>
    <col min="5" max="5" width="14.28515625" style="193" customWidth="1" outlineLevel="1"/>
    <col min="6" max="6" width="18.42578125" style="193" customWidth="1" outlineLevel="1"/>
    <col min="7" max="7" width="20.5703125" style="193" customWidth="1" outlineLevel="1"/>
    <col min="8" max="8" width="3" style="193" customWidth="1"/>
    <col min="9" max="10" width="2.7109375" style="194" hidden="1" customWidth="1"/>
    <col min="11" max="11" width="0" style="194" hidden="1" customWidth="1"/>
    <col min="12" max="12" width="19.28515625" style="194" hidden="1" customWidth="1" outlineLevel="1"/>
    <col min="13" max="13" width="13.42578125" style="194" hidden="1" customWidth="1" outlineLevel="1"/>
    <col min="14" max="14" width="8.28515625" style="194" hidden="1" customWidth="1" outlineLevel="1"/>
    <col min="15" max="15" width="22.140625" style="194" hidden="1" customWidth="1" outlineLevel="1"/>
    <col min="16" max="16" width="3.5703125" style="194" hidden="1" customWidth="1" collapsed="1"/>
    <col min="17" max="17" width="11.42578125" style="194" hidden="1" customWidth="1"/>
    <col min="18" max="18" width="13.42578125" style="194" hidden="1" customWidth="1"/>
    <col min="19" max="19" width="15.42578125" style="194" hidden="1" customWidth="1"/>
    <col min="20" max="20" width="11.42578125" style="194" hidden="1" customWidth="1"/>
    <col min="21" max="21" width="13.42578125" style="194" hidden="1" customWidth="1"/>
    <col min="22" max="34" width="0" style="194" hidden="1" customWidth="1"/>
    <col min="35" max="16384" width="11.42578125" style="194" hidden="1"/>
  </cols>
  <sheetData>
    <row r="1" spans="1:19" ht="32.25" thickBot="1" x14ac:dyDescent="0.3">
      <c r="A1" s="308"/>
      <c r="B1" s="190" t="s">
        <v>108</v>
      </c>
      <c r="C1" s="191"/>
      <c r="D1" s="191"/>
      <c r="E1" s="191"/>
      <c r="F1" s="191"/>
      <c r="G1" s="192"/>
    </row>
    <row r="2" spans="1:19" ht="19.5" x14ac:dyDescent="0.25">
      <c r="A2" s="308"/>
      <c r="B2" s="195" t="s">
        <v>142</v>
      </c>
      <c r="C2" s="196"/>
      <c r="D2" s="197"/>
      <c r="E2" s="197"/>
      <c r="F2" s="198"/>
      <c r="G2" s="199" t="str">
        <f>+Entgeltrechner2019_inklVNB!G2</f>
        <v>Gültigkeit : 01.01.2019 bis 31.12.2019</v>
      </c>
      <c r="H2" s="198"/>
    </row>
    <row r="3" spans="1:19" x14ac:dyDescent="0.25">
      <c r="A3" s="308"/>
      <c r="B3" s="309"/>
      <c r="C3" s="309"/>
      <c r="D3" s="309"/>
      <c r="E3" s="309"/>
      <c r="F3" s="309"/>
      <c r="G3" s="309"/>
    </row>
    <row r="4" spans="1:19" x14ac:dyDescent="0.25">
      <c r="A4" s="308"/>
      <c r="B4" s="193" t="s">
        <v>112</v>
      </c>
    </row>
    <row r="5" spans="1:19" x14ac:dyDescent="0.25">
      <c r="A5" s="308"/>
      <c r="B5" s="193" t="s">
        <v>114</v>
      </c>
    </row>
    <row r="6" spans="1:19" ht="21" customHeight="1" x14ac:dyDescent="0.25">
      <c r="A6" s="308"/>
      <c r="B6" s="200" t="s">
        <v>113</v>
      </c>
      <c r="C6" s="200"/>
      <c r="D6" s="200"/>
      <c r="E6" s="200"/>
    </row>
    <row r="7" spans="1:19" ht="14.25" thickBot="1" x14ac:dyDescent="0.3">
      <c r="A7" s="308"/>
      <c r="H7" s="194"/>
    </row>
    <row r="8" spans="1:19" ht="24.75" customHeight="1" thickBot="1" x14ac:dyDescent="0.3">
      <c r="A8" s="308"/>
      <c r="B8" s="201" t="s">
        <v>111</v>
      </c>
      <c r="C8" s="202"/>
      <c r="D8" s="203"/>
      <c r="E8" s="204">
        <f>O20/M13</f>
        <v>20.3033</v>
      </c>
      <c r="F8" s="205" t="s">
        <v>12</v>
      </c>
      <c r="H8" s="194"/>
    </row>
    <row r="9" spans="1:19" ht="14.25" thickBot="1" x14ac:dyDescent="0.3">
      <c r="A9" s="308"/>
      <c r="H9" s="194"/>
    </row>
    <row r="10" spans="1:19" ht="30" x14ac:dyDescent="0.25">
      <c r="A10" s="308"/>
      <c r="B10" s="302" t="s">
        <v>92</v>
      </c>
      <c r="C10" s="206" t="s">
        <v>109</v>
      </c>
      <c r="D10" s="206" t="s">
        <v>91</v>
      </c>
      <c r="E10" s="304" t="s">
        <v>143</v>
      </c>
      <c r="F10" s="305"/>
      <c r="G10" s="207" t="s">
        <v>93</v>
      </c>
      <c r="H10" s="194"/>
    </row>
    <row r="11" spans="1:19" ht="15.75" thickBot="1" x14ac:dyDescent="0.3">
      <c r="A11" s="308"/>
      <c r="B11" s="303"/>
      <c r="C11" s="208" t="s">
        <v>48</v>
      </c>
      <c r="D11" s="208" t="s">
        <v>48</v>
      </c>
      <c r="E11" s="306"/>
      <c r="F11" s="307"/>
      <c r="G11" s="209" t="s">
        <v>94</v>
      </c>
      <c r="H11" s="194"/>
    </row>
    <row r="12" spans="1:19" ht="14.25" thickBot="1" x14ac:dyDescent="0.3">
      <c r="A12" s="308"/>
      <c r="H12" s="194"/>
    </row>
    <row r="13" spans="1:19" ht="15.75" customHeight="1" x14ac:dyDescent="0.25">
      <c r="A13" s="308"/>
      <c r="B13" s="210" t="s">
        <v>95</v>
      </c>
      <c r="C13" s="211">
        <v>0</v>
      </c>
      <c r="D13" s="212">
        <f t="shared" ref="D13:D24" si="0">+IF(C13=0,0,MAX($C$13:$C$24))</f>
        <v>0</v>
      </c>
      <c r="E13" s="213">
        <v>0.25</v>
      </c>
      <c r="F13" s="214">
        <f>1/4</f>
        <v>0.25</v>
      </c>
      <c r="G13" s="215">
        <f t="shared" ref="G13:G24" si="1">+F13*D13*$E$8</f>
        <v>0</v>
      </c>
      <c r="H13" s="194"/>
      <c r="K13" s="193"/>
      <c r="L13" s="216" t="s">
        <v>76</v>
      </c>
      <c r="M13" s="217">
        <f>+MAX(C13:C24)</f>
        <v>500</v>
      </c>
      <c r="N13" s="218" t="s">
        <v>48</v>
      </c>
      <c r="O13" s="193"/>
      <c r="S13" s="219"/>
    </row>
    <row r="14" spans="1:19" ht="15.75" customHeight="1" x14ac:dyDescent="0.25">
      <c r="A14" s="308"/>
      <c r="B14" s="220" t="s">
        <v>96</v>
      </c>
      <c r="C14" s="221">
        <v>0</v>
      </c>
      <c r="D14" s="222">
        <f t="shared" si="0"/>
        <v>0</v>
      </c>
      <c r="E14" s="223">
        <v>0.25</v>
      </c>
      <c r="F14" s="224">
        <f>1/4</f>
        <v>0.25</v>
      </c>
      <c r="G14" s="225">
        <f t="shared" si="1"/>
        <v>0</v>
      </c>
      <c r="H14" s="194"/>
      <c r="K14" s="193"/>
      <c r="L14" s="216" t="s">
        <v>58</v>
      </c>
      <c r="M14" s="226">
        <f>+LOOKUP(M13,'Preistabellen inkl. VNB'!C37:C46,'Preistabellen inkl. VNB'!B37:B46)</f>
        <v>1</v>
      </c>
      <c r="N14" s="218"/>
      <c r="O14" s="193"/>
    </row>
    <row r="15" spans="1:19" ht="15.75" customHeight="1" x14ac:dyDescent="0.25">
      <c r="A15" s="308"/>
      <c r="B15" s="220" t="s">
        <v>97</v>
      </c>
      <c r="C15" s="221">
        <v>0</v>
      </c>
      <c r="D15" s="222">
        <f t="shared" si="0"/>
        <v>0</v>
      </c>
      <c r="E15" s="223">
        <v>0.16666666666666666</v>
      </c>
      <c r="F15" s="227">
        <f>1/6</f>
        <v>0.16666666666666666</v>
      </c>
      <c r="G15" s="225">
        <f>+F15*D15*$E$8</f>
        <v>0</v>
      </c>
      <c r="H15" s="194"/>
      <c r="K15" s="193"/>
      <c r="L15" s="216" t="s">
        <v>7</v>
      </c>
      <c r="M15" s="228">
        <f>+LOOKUP(M13,'Preistabellen inkl. VNB'!C37:C46,'Preistabellen inkl. VNB'!G37:G46)</f>
        <v>20.3033</v>
      </c>
      <c r="N15" s="218" t="s">
        <v>12</v>
      </c>
      <c r="O15" s="229"/>
    </row>
    <row r="16" spans="1:19" ht="15.75" customHeight="1" x14ac:dyDescent="0.25">
      <c r="A16" s="308"/>
      <c r="B16" s="220" t="s">
        <v>98</v>
      </c>
      <c r="C16" s="221">
        <v>0</v>
      </c>
      <c r="D16" s="222">
        <f t="shared" si="0"/>
        <v>0</v>
      </c>
      <c r="E16" s="223" t="s">
        <v>99</v>
      </c>
      <c r="F16" s="227">
        <f t="shared" ref="F16:F21" si="2">1/12</f>
        <v>8.3333333333333329E-2</v>
      </c>
      <c r="G16" s="225">
        <f t="shared" si="1"/>
        <v>0</v>
      </c>
      <c r="H16" s="194"/>
      <c r="K16" s="193"/>
      <c r="L16" s="216" t="s">
        <v>45</v>
      </c>
      <c r="M16" s="230">
        <f>+LOOKUP(M13,'Preistabellen inkl. VNB'!C37:C46,'Preistabellen inkl. VNB'!E37:E46)</f>
        <v>0</v>
      </c>
      <c r="N16" s="218"/>
      <c r="O16" s="193"/>
    </row>
    <row r="17" spans="1:34" ht="15.75" customHeight="1" x14ac:dyDescent="0.25">
      <c r="A17" s="308"/>
      <c r="B17" s="220" t="s">
        <v>100</v>
      </c>
      <c r="C17" s="221">
        <v>10</v>
      </c>
      <c r="D17" s="222">
        <f t="shared" si="0"/>
        <v>500</v>
      </c>
      <c r="E17" s="223" t="s">
        <v>99</v>
      </c>
      <c r="F17" s="227">
        <f t="shared" si="2"/>
        <v>8.3333333333333329E-2</v>
      </c>
      <c r="G17" s="225">
        <f t="shared" si="1"/>
        <v>845.9708333333333</v>
      </c>
      <c r="H17" s="194"/>
      <c r="K17" s="193"/>
      <c r="L17" s="216" t="s">
        <v>66</v>
      </c>
      <c r="M17" s="231">
        <f>+LOOKUP(M13,'Preistabellen inkl. VNB'!C37:C46,'Preistabellen inkl. VNB'!F37:F46)</f>
        <v>0</v>
      </c>
      <c r="N17" s="218"/>
      <c r="O17" s="193"/>
    </row>
    <row r="18" spans="1:34" ht="15.75" customHeight="1" x14ac:dyDescent="0.25">
      <c r="A18" s="308"/>
      <c r="B18" s="220" t="s">
        <v>101</v>
      </c>
      <c r="C18" s="221">
        <v>300</v>
      </c>
      <c r="D18" s="222">
        <f t="shared" si="0"/>
        <v>500</v>
      </c>
      <c r="E18" s="223" t="s">
        <v>99</v>
      </c>
      <c r="F18" s="227">
        <f t="shared" si="2"/>
        <v>8.3333333333333329E-2</v>
      </c>
      <c r="G18" s="225">
        <f t="shared" si="1"/>
        <v>845.9708333333333</v>
      </c>
      <c r="H18" s="194"/>
      <c r="K18" s="193"/>
      <c r="L18" s="216" t="s">
        <v>67</v>
      </c>
      <c r="M18" s="231">
        <f>+M13-M17</f>
        <v>500</v>
      </c>
      <c r="N18" s="218"/>
      <c r="O18" s="232"/>
    </row>
    <row r="19" spans="1:34" ht="15.75" customHeight="1" x14ac:dyDescent="0.25">
      <c r="A19" s="308"/>
      <c r="B19" s="220" t="s">
        <v>102</v>
      </c>
      <c r="C19" s="221">
        <v>100</v>
      </c>
      <c r="D19" s="222">
        <f t="shared" si="0"/>
        <v>500</v>
      </c>
      <c r="E19" s="223" t="s">
        <v>99</v>
      </c>
      <c r="F19" s="227">
        <f t="shared" si="2"/>
        <v>8.3333333333333329E-2</v>
      </c>
      <c r="G19" s="225">
        <f t="shared" si="1"/>
        <v>845.9708333333333</v>
      </c>
      <c r="H19" s="194"/>
      <c r="K19" s="218"/>
      <c r="L19" s="218"/>
      <c r="M19" s="218"/>
      <c r="N19" s="218"/>
      <c r="O19" s="232"/>
    </row>
    <row r="20" spans="1:34" ht="15.75" customHeight="1" x14ac:dyDescent="0.25">
      <c r="A20" s="308"/>
      <c r="B20" s="220" t="s">
        <v>103</v>
      </c>
      <c r="C20" s="221">
        <v>500</v>
      </c>
      <c r="D20" s="222">
        <f t="shared" si="0"/>
        <v>500</v>
      </c>
      <c r="E20" s="223" t="s">
        <v>99</v>
      </c>
      <c r="F20" s="227">
        <f t="shared" si="2"/>
        <v>8.3333333333333329E-2</v>
      </c>
      <c r="G20" s="225">
        <f t="shared" si="1"/>
        <v>845.9708333333333</v>
      </c>
      <c r="H20" s="194"/>
      <c r="K20" s="299" t="s">
        <v>84</v>
      </c>
      <c r="L20" s="300"/>
      <c r="M20" s="300"/>
      <c r="N20" s="301"/>
      <c r="O20" s="233">
        <f>ROUND(+M18*M15+M16,2)</f>
        <v>10151.65</v>
      </c>
    </row>
    <row r="21" spans="1:34" ht="15.75" customHeight="1" x14ac:dyDescent="0.25">
      <c r="A21" s="308"/>
      <c r="B21" s="220" t="s">
        <v>104</v>
      </c>
      <c r="C21" s="221">
        <v>0</v>
      </c>
      <c r="D21" s="222">
        <f t="shared" si="0"/>
        <v>0</v>
      </c>
      <c r="E21" s="223" t="s">
        <v>99</v>
      </c>
      <c r="F21" s="227">
        <f t="shared" si="2"/>
        <v>8.3333333333333329E-2</v>
      </c>
      <c r="G21" s="225">
        <f t="shared" si="1"/>
        <v>0</v>
      </c>
      <c r="H21" s="194"/>
    </row>
    <row r="22" spans="1:34" ht="15.75" customHeight="1" x14ac:dyDescent="0.25">
      <c r="A22" s="308"/>
      <c r="B22" s="220" t="s">
        <v>105</v>
      </c>
      <c r="C22" s="221">
        <v>0</v>
      </c>
      <c r="D22" s="222">
        <f t="shared" si="0"/>
        <v>0</v>
      </c>
      <c r="E22" s="223">
        <v>0.16666666666666666</v>
      </c>
      <c r="F22" s="227">
        <f>1/6</f>
        <v>0.16666666666666666</v>
      </c>
      <c r="G22" s="225">
        <f t="shared" si="1"/>
        <v>0</v>
      </c>
      <c r="H22" s="194"/>
    </row>
    <row r="23" spans="1:34" ht="15.75" customHeight="1" x14ac:dyDescent="0.25">
      <c r="A23" s="308"/>
      <c r="B23" s="220" t="s">
        <v>106</v>
      </c>
      <c r="C23" s="221">
        <v>56</v>
      </c>
      <c r="D23" s="222">
        <f t="shared" si="0"/>
        <v>500</v>
      </c>
      <c r="E23" s="223">
        <v>0.16666666666666666</v>
      </c>
      <c r="F23" s="227">
        <f>1/6</f>
        <v>0.16666666666666666</v>
      </c>
      <c r="G23" s="225">
        <f t="shared" si="1"/>
        <v>1691.9416666666666</v>
      </c>
      <c r="H23" s="194"/>
    </row>
    <row r="24" spans="1:34" ht="15.75" customHeight="1" thickBot="1" x14ac:dyDescent="0.3">
      <c r="A24" s="308"/>
      <c r="B24" s="234" t="s">
        <v>107</v>
      </c>
      <c r="C24" s="235">
        <v>0</v>
      </c>
      <c r="D24" s="236">
        <f t="shared" si="0"/>
        <v>0</v>
      </c>
      <c r="E24" s="237">
        <v>0.25</v>
      </c>
      <c r="F24" s="238">
        <f>1/4</f>
        <v>0.25</v>
      </c>
      <c r="G24" s="239">
        <f t="shared" si="1"/>
        <v>0</v>
      </c>
      <c r="H24" s="194"/>
    </row>
    <row r="25" spans="1:34" ht="5.25" customHeight="1" x14ac:dyDescent="0.25">
      <c r="A25" s="308"/>
      <c r="H25" s="194"/>
    </row>
    <row r="26" spans="1:34" s="242" customFormat="1" ht="20.25" customHeight="1" x14ac:dyDescent="0.25">
      <c r="A26" s="308"/>
      <c r="B26" s="319" t="s">
        <v>110</v>
      </c>
      <c r="C26" s="320"/>
      <c r="D26" s="320"/>
      <c r="E26" s="320"/>
      <c r="F26" s="321"/>
      <c r="G26" s="240">
        <f>SUM(G13:G24)</f>
        <v>5075.8249999999998</v>
      </c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</row>
    <row r="27" spans="1:34" ht="4.5" customHeight="1" x14ac:dyDescent="0.25">
      <c r="A27" s="308"/>
      <c r="B27" s="194"/>
      <c r="C27" s="194"/>
      <c r="D27" s="194"/>
      <c r="E27" s="194"/>
      <c r="F27" s="194"/>
      <c r="G27" s="194"/>
    </row>
    <row r="28" spans="1:34" s="242" customFormat="1" ht="20.25" customHeight="1" x14ac:dyDescent="0.25">
      <c r="A28" s="308"/>
      <c r="B28" s="319" t="s">
        <v>60</v>
      </c>
      <c r="C28" s="320"/>
      <c r="D28" s="320"/>
      <c r="E28" s="320"/>
      <c r="F28" s="321"/>
      <c r="G28" s="240">
        <f>+Entgeltrechner2019_inklVNB!F32</f>
        <v>8141.75</v>
      </c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</row>
    <row r="29" spans="1:34" ht="6.75" customHeight="1" x14ac:dyDescent="0.25">
      <c r="A29" s="308"/>
    </row>
    <row r="30" spans="1:34" s="246" customFormat="1" ht="25.5" customHeight="1" x14ac:dyDescent="0.25">
      <c r="A30" s="308"/>
      <c r="B30" s="322" t="str">
        <f>+Entgeltrechner2019_inklVNB!B43</f>
        <v>Transportentgelt RLM (Jahresabrechnung - Arbeit- und Leistungsentgelt)</v>
      </c>
      <c r="C30" s="323"/>
      <c r="D30" s="323"/>
      <c r="E30" s="323"/>
      <c r="F30" s="324">
        <f>+G26+G28</f>
        <v>13217.575000000001</v>
      </c>
      <c r="G30" s="243">
        <f>+G28+G26</f>
        <v>13217.575000000001</v>
      </c>
      <c r="H30" s="244"/>
      <c r="I30" s="244"/>
      <c r="J30" s="244"/>
      <c r="K30" s="244"/>
      <c r="L30" s="244"/>
      <c r="M30" s="244"/>
      <c r="N30" s="244"/>
      <c r="O30" s="245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</row>
    <row r="31" spans="1:34" s="193" customFormat="1" ht="6.75" customHeight="1" x14ac:dyDescent="0.25">
      <c r="A31" s="308"/>
      <c r="B31" s="247"/>
      <c r="C31" s="247"/>
      <c r="D31" s="247"/>
      <c r="E31" s="247"/>
      <c r="F31" s="247"/>
      <c r="G31" s="247"/>
      <c r="H31" s="247"/>
      <c r="I31" s="247"/>
      <c r="J31" s="247"/>
      <c r="L31" s="248"/>
      <c r="M31" s="248"/>
      <c r="N31" s="248"/>
      <c r="O31" s="249"/>
      <c r="Q31" s="194"/>
      <c r="R31" s="198"/>
      <c r="S31" s="198"/>
      <c r="T31" s="198"/>
      <c r="U31" s="198"/>
      <c r="V31" s="198"/>
      <c r="W31" s="198"/>
      <c r="X31" s="198"/>
      <c r="Y31" s="198"/>
      <c r="AB31" s="194"/>
      <c r="AC31" s="194"/>
      <c r="AD31" s="194"/>
      <c r="AE31" s="194"/>
      <c r="AF31" s="194"/>
      <c r="AG31" s="194"/>
      <c r="AH31" s="194"/>
    </row>
    <row r="32" spans="1:34" s="198" customFormat="1" ht="25.5" customHeight="1" x14ac:dyDescent="0.25">
      <c r="A32" s="308"/>
      <c r="B32" s="250" t="str">
        <f>+Entgeltrechner2019_inklVNB!B45</f>
        <v>Messstellenbetrieb</v>
      </c>
      <c r="C32" s="251"/>
      <c r="D32" s="251"/>
      <c r="E32" s="251"/>
      <c r="F32" s="251"/>
      <c r="G32" s="252"/>
      <c r="Q32" s="194"/>
    </row>
    <row r="33" spans="1:34" s="193" customFormat="1" ht="6" customHeight="1" x14ac:dyDescent="0.25">
      <c r="A33" s="308"/>
      <c r="G33" s="253"/>
      <c r="H33" s="198"/>
      <c r="I33" s="198"/>
      <c r="J33" s="198"/>
      <c r="K33" s="198"/>
      <c r="L33" s="198"/>
      <c r="M33" s="198"/>
      <c r="N33" s="198"/>
      <c r="O33" s="198"/>
      <c r="P33" s="198"/>
      <c r="Q33" s="194"/>
      <c r="S33" s="242"/>
      <c r="T33" s="242"/>
      <c r="U33" s="242"/>
      <c r="V33" s="242"/>
      <c r="W33" s="242"/>
      <c r="AB33" s="194"/>
      <c r="AC33" s="194"/>
      <c r="AD33" s="194"/>
      <c r="AE33" s="194"/>
      <c r="AF33" s="194"/>
      <c r="AG33" s="194"/>
      <c r="AH33" s="194"/>
    </row>
    <row r="34" spans="1:34" s="193" customFormat="1" ht="24" customHeight="1" x14ac:dyDescent="0.25">
      <c r="A34" s="308"/>
      <c r="B34" s="193" t="str">
        <f>+Entgeltrechner2019_inklVNB!B47</f>
        <v>Zählergröße</v>
      </c>
      <c r="C34" s="254" t="str">
        <f>+Entgeltrechner2019_inklVNB!C47</f>
        <v>G25</v>
      </c>
      <c r="G34" s="255">
        <f>+Entgeltrechner2019_inklVNB!G47</f>
        <v>66.8</v>
      </c>
      <c r="H34" s="198"/>
      <c r="I34" s="198"/>
      <c r="J34" s="198"/>
      <c r="K34" s="198"/>
      <c r="L34" s="198"/>
      <c r="M34" s="198"/>
      <c r="N34" s="198"/>
      <c r="O34" s="198"/>
      <c r="P34" s="198"/>
      <c r="Q34" s="194"/>
      <c r="AB34" s="194"/>
      <c r="AC34" s="194"/>
      <c r="AD34" s="194"/>
      <c r="AE34" s="194"/>
      <c r="AF34" s="194"/>
      <c r="AG34" s="194"/>
      <c r="AH34" s="194"/>
    </row>
    <row r="35" spans="1:34" s="193" customFormat="1" ht="6" customHeight="1" x14ac:dyDescent="0.25">
      <c r="A35" s="308"/>
      <c r="G35" s="253"/>
      <c r="H35" s="198"/>
      <c r="I35" s="198"/>
      <c r="J35" s="198"/>
      <c r="K35" s="198"/>
      <c r="L35" s="198"/>
      <c r="M35" s="198"/>
      <c r="N35" s="198"/>
      <c r="O35" s="198"/>
      <c r="P35" s="198"/>
      <c r="Q35" s="194"/>
      <c r="S35" s="246"/>
      <c r="T35" s="246"/>
      <c r="U35" s="246"/>
      <c r="V35" s="246"/>
      <c r="W35" s="246"/>
      <c r="AB35" s="194"/>
      <c r="AC35" s="194"/>
      <c r="AD35" s="194"/>
      <c r="AE35" s="194"/>
      <c r="AF35" s="194"/>
      <c r="AG35" s="194"/>
      <c r="AH35" s="194"/>
    </row>
    <row r="36" spans="1:34" s="193" customFormat="1" ht="24" customHeight="1" x14ac:dyDescent="0.25">
      <c r="A36" s="308"/>
      <c r="B36" s="193" t="str">
        <f>+Entgeltrechner2019_inklVNB!B49</f>
        <v>Mengenumwerter</v>
      </c>
      <c r="C36" s="254" t="str">
        <f>+Entgeltrechner2019_inklVNB!C49</f>
        <v>Nein</v>
      </c>
      <c r="G36" s="255">
        <f>+Entgeltrechner2019_inklVNB!G49</f>
        <v>0</v>
      </c>
      <c r="H36" s="198"/>
      <c r="I36" s="198"/>
      <c r="J36" s="198"/>
      <c r="K36" s="198"/>
      <c r="L36" s="198"/>
      <c r="M36" s="198"/>
      <c r="N36" s="198"/>
      <c r="O36" s="198"/>
      <c r="P36" s="198"/>
      <c r="Q36" s="194"/>
      <c r="R36" s="242"/>
      <c r="AB36" s="194"/>
      <c r="AC36" s="194"/>
      <c r="AD36" s="194"/>
      <c r="AE36" s="194"/>
      <c r="AF36" s="194"/>
      <c r="AG36" s="194"/>
      <c r="AH36" s="194"/>
    </row>
    <row r="37" spans="1:34" s="193" customFormat="1" ht="6" customHeight="1" x14ac:dyDescent="0.25">
      <c r="A37" s="308"/>
      <c r="G37" s="253"/>
      <c r="H37" s="198"/>
      <c r="I37" s="198"/>
      <c r="J37" s="198"/>
      <c r="K37" s="198"/>
      <c r="L37" s="198"/>
      <c r="M37" s="198"/>
      <c r="N37" s="198"/>
      <c r="O37" s="198"/>
      <c r="P37" s="198"/>
      <c r="Q37" s="194"/>
      <c r="AB37" s="194"/>
      <c r="AC37" s="194"/>
      <c r="AD37" s="194"/>
      <c r="AE37" s="194"/>
      <c r="AF37" s="194"/>
      <c r="AG37" s="194"/>
      <c r="AH37" s="194"/>
    </row>
    <row r="38" spans="1:34" s="193" customFormat="1" ht="24" customHeight="1" x14ac:dyDescent="0.25">
      <c r="A38" s="308"/>
      <c r="B38" s="193" t="str">
        <f>+Entgeltrechner2019_inklVNB!B51</f>
        <v>Tarifgerät</v>
      </c>
      <c r="C38" s="254" t="str">
        <f>+Entgeltrechner2019_inklVNB!C51</f>
        <v>Nein</v>
      </c>
      <c r="G38" s="255">
        <f>+Entgeltrechner2019_inklVNB!G51</f>
        <v>0</v>
      </c>
      <c r="H38" s="198"/>
      <c r="I38" s="198"/>
      <c r="J38" s="198"/>
      <c r="K38" s="198"/>
      <c r="L38" s="198"/>
      <c r="M38" s="198"/>
      <c r="N38" s="198"/>
      <c r="O38" s="198"/>
      <c r="P38" s="198"/>
      <c r="Q38" s="194"/>
      <c r="AB38" s="194"/>
      <c r="AC38" s="194"/>
      <c r="AD38" s="194"/>
      <c r="AE38" s="194"/>
      <c r="AF38" s="194"/>
      <c r="AG38" s="194"/>
      <c r="AH38" s="194"/>
    </row>
    <row r="39" spans="1:34" s="193" customFormat="1" ht="6" customHeight="1" x14ac:dyDescent="0.25">
      <c r="A39" s="308"/>
      <c r="G39" s="253"/>
      <c r="H39" s="198"/>
      <c r="I39" s="198"/>
      <c r="J39" s="198"/>
      <c r="K39" s="198"/>
      <c r="L39" s="198"/>
      <c r="M39" s="198"/>
      <c r="N39" s="198"/>
      <c r="O39" s="198"/>
      <c r="P39" s="198"/>
      <c r="Q39" s="194"/>
      <c r="AB39" s="194"/>
      <c r="AC39" s="194"/>
      <c r="AD39" s="194"/>
      <c r="AE39" s="194"/>
      <c r="AF39" s="194"/>
      <c r="AG39" s="194"/>
      <c r="AH39" s="194"/>
    </row>
    <row r="40" spans="1:34" s="193" customFormat="1" ht="25.5" customHeight="1" x14ac:dyDescent="0.25">
      <c r="A40" s="308"/>
      <c r="B40" s="250" t="str">
        <f>+Entgeltrechner2019_inklVNB!B55</f>
        <v>Messdienstleistung</v>
      </c>
      <c r="C40" s="251"/>
      <c r="D40" s="251"/>
      <c r="E40" s="251"/>
      <c r="F40" s="251"/>
      <c r="G40" s="253"/>
      <c r="H40" s="198"/>
      <c r="I40" s="198"/>
      <c r="J40" s="198"/>
      <c r="K40" s="198"/>
      <c r="L40" s="198"/>
      <c r="M40" s="198"/>
      <c r="N40" s="198"/>
      <c r="O40" s="198"/>
      <c r="P40" s="198"/>
      <c r="Q40" s="194"/>
      <c r="AB40" s="194"/>
      <c r="AC40" s="194"/>
      <c r="AD40" s="194"/>
      <c r="AE40" s="194"/>
      <c r="AF40" s="194"/>
      <c r="AG40" s="194"/>
      <c r="AH40" s="194"/>
    </row>
    <row r="41" spans="1:34" s="193" customFormat="1" ht="6" customHeight="1" x14ac:dyDescent="0.25">
      <c r="A41" s="308"/>
      <c r="C41" s="256"/>
      <c r="D41" s="256"/>
      <c r="G41" s="253"/>
      <c r="H41" s="198"/>
      <c r="I41" s="198"/>
      <c r="J41" s="198"/>
      <c r="K41" s="198"/>
      <c r="L41" s="198"/>
      <c r="M41" s="198"/>
      <c r="N41" s="198"/>
      <c r="O41" s="198"/>
      <c r="P41" s="198"/>
      <c r="Q41" s="194"/>
      <c r="AB41" s="194"/>
      <c r="AC41" s="194"/>
      <c r="AD41" s="194"/>
      <c r="AE41" s="194"/>
      <c r="AF41" s="194"/>
      <c r="AG41" s="194"/>
      <c r="AH41" s="194"/>
    </row>
    <row r="42" spans="1:34" s="193" customFormat="1" ht="24" customHeight="1" x14ac:dyDescent="0.25">
      <c r="A42" s="308"/>
      <c r="B42" s="268" t="str">
        <f>+Entgeltrechner2019_inklVNB!B57</f>
        <v>Zählerfernauslesung</v>
      </c>
      <c r="C42" s="72" t="str">
        <f>+Entgeltrechner2019_inklVNB!C57</f>
        <v>Ja</v>
      </c>
      <c r="D42" s="3" t="str">
        <f>+Entgeltrechner2019_inklVNB!D57</f>
        <v xml:space="preserve"> = tägliche Zähldatenerfassung durch NGS</v>
      </c>
      <c r="E42" s="3"/>
      <c r="F42" s="3"/>
      <c r="G42" s="77">
        <f>+Entgeltrechner2019_inklVNB!G57</f>
        <v>0</v>
      </c>
      <c r="H42" s="198"/>
      <c r="I42" s="198"/>
      <c r="J42" s="198"/>
      <c r="K42" s="198"/>
      <c r="L42" s="198"/>
      <c r="M42" s="198"/>
      <c r="N42" s="198"/>
      <c r="O42" s="198"/>
      <c r="P42" s="198"/>
      <c r="Q42" s="194"/>
      <c r="AB42" s="194"/>
      <c r="AC42" s="194"/>
      <c r="AD42" s="194"/>
      <c r="AE42" s="194"/>
      <c r="AF42" s="194"/>
      <c r="AG42" s="194"/>
      <c r="AH42" s="194"/>
    </row>
    <row r="43" spans="1:34" s="193" customFormat="1" ht="24" customHeight="1" x14ac:dyDescent="0.25">
      <c r="A43" s="308"/>
      <c r="B43" s="268"/>
      <c r="C43" s="257" t="str">
        <f>+Entgeltrechner2019_inklVNB!C58</f>
        <v>keine Fernauslesung bei SLP</v>
      </c>
      <c r="D43" s="3"/>
      <c r="E43" s="3"/>
      <c r="F43" s="258" t="str">
        <f>+Entgeltrechner2019_inklVNB!D58</f>
        <v/>
      </c>
      <c r="G43" s="77">
        <f>+Entgeltrechner2019_inklVNB!G58</f>
        <v>255</v>
      </c>
      <c r="H43" s="198"/>
      <c r="I43" s="198"/>
      <c r="J43" s="198"/>
      <c r="K43" s="198"/>
      <c r="L43" s="198"/>
      <c r="M43" s="198"/>
      <c r="N43" s="198"/>
      <c r="O43" s="198"/>
      <c r="P43" s="198"/>
      <c r="Q43" s="194"/>
      <c r="AB43" s="194"/>
      <c r="AC43" s="194"/>
      <c r="AD43" s="194"/>
      <c r="AE43" s="194"/>
      <c r="AF43" s="194"/>
      <c r="AG43" s="194"/>
      <c r="AH43" s="194"/>
    </row>
    <row r="44" spans="1:34" s="193" customFormat="1" ht="6" customHeight="1" x14ac:dyDescent="0.25">
      <c r="A44" s="308"/>
      <c r="G44" s="253"/>
      <c r="H44" s="198"/>
      <c r="I44" s="198"/>
      <c r="J44" s="198"/>
      <c r="K44" s="198"/>
      <c r="L44" s="198"/>
      <c r="M44" s="198"/>
      <c r="N44" s="198"/>
      <c r="O44" s="198"/>
      <c r="P44" s="198"/>
      <c r="Q44" s="194"/>
      <c r="AB44" s="194"/>
      <c r="AC44" s="194"/>
      <c r="AD44" s="194"/>
      <c r="AE44" s="194"/>
      <c r="AF44" s="194"/>
      <c r="AG44" s="194"/>
      <c r="AH44" s="194"/>
    </row>
    <row r="45" spans="1:34" s="193" customFormat="1" ht="25.5" customHeight="1" x14ac:dyDescent="0.25">
      <c r="A45" s="308"/>
      <c r="B45" s="250" t="str">
        <f>+Entgeltrechner2019_inklVNB!B60</f>
        <v>Preise für Sonderleistungen - Zähldatenerfassung</v>
      </c>
      <c r="C45" s="251"/>
      <c r="D45" s="251"/>
      <c r="E45" s="251"/>
      <c r="F45" s="251"/>
      <c r="G45" s="253"/>
      <c r="H45" s="198"/>
      <c r="I45" s="198"/>
      <c r="J45" s="198"/>
      <c r="K45" s="198"/>
      <c r="L45" s="198"/>
      <c r="M45" s="198"/>
      <c r="N45" s="198"/>
      <c r="O45" s="198"/>
      <c r="P45" s="198"/>
      <c r="Q45" s="194"/>
      <c r="AB45" s="194"/>
      <c r="AC45" s="194"/>
      <c r="AD45" s="194"/>
      <c r="AE45" s="194"/>
      <c r="AF45" s="194"/>
      <c r="AG45" s="194"/>
      <c r="AH45" s="194"/>
    </row>
    <row r="46" spans="1:34" s="193" customFormat="1" ht="6" customHeight="1" x14ac:dyDescent="0.25">
      <c r="A46" s="308"/>
      <c r="G46" s="253"/>
      <c r="H46" s="198"/>
      <c r="I46" s="198"/>
      <c r="J46" s="198"/>
      <c r="K46" s="198"/>
      <c r="L46" s="198"/>
      <c r="M46" s="198"/>
      <c r="N46" s="198"/>
      <c r="O46" s="198"/>
      <c r="P46" s="198"/>
      <c r="Q46" s="194"/>
      <c r="AB46" s="194"/>
      <c r="AC46" s="194"/>
      <c r="AD46" s="194"/>
      <c r="AE46" s="194"/>
      <c r="AF46" s="194"/>
      <c r="AG46" s="194"/>
      <c r="AH46" s="194"/>
    </row>
    <row r="47" spans="1:34" s="193" customFormat="1" ht="27" customHeight="1" x14ac:dyDescent="0.25">
      <c r="A47" s="308"/>
      <c r="B47" s="193" t="str">
        <f>+Entgeltrechner2019_inklVNB!B62</f>
        <v>Zähldatenerfassung</v>
      </c>
      <c r="C47" s="316" t="str">
        <f>+Entgeltrechner2019_inklVNB!C62</f>
        <v>Ablesekarte je Abrechnung</v>
      </c>
      <c r="D47" s="317">
        <f>+Entgeltrechner2019_inklVNB!D62</f>
        <v>0</v>
      </c>
      <c r="E47" s="317">
        <f>+Entgeltrechner2019_inklVNB!E62</f>
        <v>0</v>
      </c>
      <c r="F47" s="318">
        <f>+Entgeltrechner2019_inklVNB!F62</f>
        <v>0</v>
      </c>
      <c r="G47" s="259">
        <f>+Entgeltrechner2019_inklVNB!G62</f>
        <v>0</v>
      </c>
      <c r="H47" s="198"/>
      <c r="I47" s="198"/>
      <c r="J47" s="198"/>
      <c r="K47" s="198"/>
      <c r="L47" s="198"/>
      <c r="M47" s="198"/>
      <c r="N47" s="198"/>
      <c r="O47" s="198"/>
      <c r="P47" s="198"/>
      <c r="Q47" s="194"/>
      <c r="AB47" s="194"/>
      <c r="AC47" s="194"/>
      <c r="AD47" s="194"/>
      <c r="AE47" s="194"/>
      <c r="AF47" s="194"/>
      <c r="AG47" s="194"/>
      <c r="AH47" s="194"/>
    </row>
    <row r="48" spans="1:34" s="193" customFormat="1" ht="6" customHeight="1" x14ac:dyDescent="0.25">
      <c r="A48" s="308"/>
      <c r="G48" s="253"/>
      <c r="H48" s="198"/>
      <c r="I48" s="198"/>
      <c r="J48" s="198"/>
      <c r="K48" s="198"/>
      <c r="L48" s="198"/>
      <c r="M48" s="198"/>
      <c r="N48" s="198"/>
      <c r="O48" s="198"/>
      <c r="P48" s="198"/>
      <c r="Q48" s="194"/>
      <c r="AB48" s="194"/>
      <c r="AC48" s="194"/>
      <c r="AD48" s="194"/>
      <c r="AE48" s="194"/>
      <c r="AF48" s="194"/>
      <c r="AG48" s="194"/>
      <c r="AH48" s="194"/>
    </row>
    <row r="49" spans="1:34" s="198" customFormat="1" ht="25.5" customHeight="1" x14ac:dyDescent="0.25">
      <c r="A49" s="308"/>
      <c r="B49" s="250" t="e">
        <f>+Entgeltrechner2019_inklVNB!#REF!</f>
        <v>#REF!</v>
      </c>
      <c r="C49" s="251"/>
      <c r="D49" s="251"/>
      <c r="E49" s="251"/>
      <c r="F49" s="251"/>
      <c r="G49" s="260"/>
      <c r="Q49" s="194"/>
    </row>
    <row r="50" spans="1:34" s="193" customFormat="1" ht="6" customHeight="1" x14ac:dyDescent="0.25">
      <c r="A50" s="308"/>
      <c r="G50" s="253"/>
      <c r="H50" s="198"/>
      <c r="I50" s="198"/>
      <c r="J50" s="198"/>
      <c r="K50" s="198"/>
      <c r="L50" s="198"/>
      <c r="M50" s="198"/>
      <c r="N50" s="198"/>
      <c r="O50" s="198"/>
      <c r="P50" s="198"/>
      <c r="Q50" s="194"/>
      <c r="AB50" s="194"/>
      <c r="AC50" s="194"/>
      <c r="AD50" s="194"/>
      <c r="AE50" s="194"/>
      <c r="AF50" s="194"/>
      <c r="AG50" s="194"/>
      <c r="AH50" s="194"/>
    </row>
    <row r="51" spans="1:34" s="193" customFormat="1" ht="24" customHeight="1" x14ac:dyDescent="0.25">
      <c r="A51" s="308"/>
      <c r="B51" s="193" t="e">
        <f>+Entgeltrechner2019_inklVNB!#REF!</f>
        <v>#REF!</v>
      </c>
      <c r="C51" s="310" t="e">
        <f>+Entgeltrechner2019_inklVNB!#REF!</f>
        <v>#REF!</v>
      </c>
      <c r="D51" s="311"/>
      <c r="E51" s="311"/>
      <c r="F51" s="312"/>
      <c r="G51" s="255" t="e">
        <f>+Entgeltrechner2019_inklVNB!#REF!</f>
        <v>#REF!</v>
      </c>
      <c r="H51" s="198"/>
      <c r="I51" s="198"/>
      <c r="J51" s="198"/>
      <c r="K51" s="198"/>
      <c r="L51" s="198"/>
      <c r="M51" s="198"/>
      <c r="N51" s="198"/>
      <c r="O51" s="198"/>
      <c r="P51" s="198"/>
      <c r="Q51" s="194"/>
      <c r="R51" s="261"/>
      <c r="U51" s="261"/>
      <c r="AB51" s="194"/>
      <c r="AC51" s="194"/>
      <c r="AD51" s="194"/>
      <c r="AE51" s="194"/>
      <c r="AF51" s="194"/>
      <c r="AG51" s="194"/>
      <c r="AH51" s="194"/>
    </row>
    <row r="52" spans="1:34" s="193" customFormat="1" ht="11.25" customHeight="1" x14ac:dyDescent="0.25">
      <c r="A52" s="308"/>
      <c r="G52" s="253"/>
      <c r="H52" s="198"/>
      <c r="I52" s="198"/>
      <c r="J52" s="198"/>
      <c r="K52" s="198"/>
      <c r="L52" s="198"/>
      <c r="M52" s="198"/>
      <c r="N52" s="198"/>
      <c r="O52" s="198"/>
      <c r="P52" s="198"/>
      <c r="Q52" s="194"/>
      <c r="AB52" s="194"/>
      <c r="AC52" s="194"/>
      <c r="AD52" s="194"/>
      <c r="AE52" s="194"/>
      <c r="AF52" s="194"/>
      <c r="AG52" s="194"/>
      <c r="AH52" s="194"/>
    </row>
    <row r="53" spans="1:34" s="193" customFormat="1" ht="30.75" customHeight="1" x14ac:dyDescent="0.25">
      <c r="A53" s="308"/>
      <c r="B53" s="313" t="str">
        <f>+Entgeltrechner2019_inklVNB!B64</f>
        <v>Gesamtkosten Netznutzung 
ohne Konzessionsabgabe</v>
      </c>
      <c r="C53" s="314"/>
      <c r="D53" s="314"/>
      <c r="E53" s="314"/>
      <c r="F53" s="315"/>
      <c r="G53" s="262" t="e">
        <f>+G51+G47+G42+G38+G36+G34+G30+G43</f>
        <v>#REF!</v>
      </c>
      <c r="H53" s="198"/>
      <c r="I53" s="198"/>
      <c r="J53" s="198"/>
      <c r="K53" s="198"/>
      <c r="L53" s="198"/>
      <c r="M53" s="198"/>
      <c r="N53" s="198"/>
      <c r="O53" s="198"/>
      <c r="P53" s="198"/>
      <c r="Q53" s="194"/>
      <c r="R53" s="261"/>
      <c r="S53" s="263"/>
      <c r="AB53" s="194"/>
      <c r="AC53" s="194"/>
      <c r="AD53" s="194"/>
      <c r="AE53" s="194"/>
      <c r="AF53" s="194"/>
      <c r="AG53" s="194"/>
      <c r="AH53" s="194"/>
    </row>
    <row r="54" spans="1:34" x14ac:dyDescent="0.25">
      <c r="I54" s="193"/>
      <c r="J54" s="193"/>
      <c r="K54" s="193"/>
      <c r="L54" s="193"/>
      <c r="S54" s="264"/>
    </row>
    <row r="55" spans="1:34" hidden="1" x14ac:dyDescent="0.25">
      <c r="I55" s="193"/>
      <c r="J55" s="193"/>
      <c r="K55" s="193"/>
      <c r="L55" s="193"/>
    </row>
    <row r="56" spans="1:34" hidden="1" x14ac:dyDescent="0.25">
      <c r="I56" s="193"/>
      <c r="J56" s="193"/>
      <c r="K56" s="193"/>
      <c r="L56" s="193"/>
    </row>
    <row r="57" spans="1:34" hidden="1" x14ac:dyDescent="0.25">
      <c r="I57" s="193"/>
      <c r="J57" s="193"/>
      <c r="K57" s="193"/>
      <c r="L57" s="193"/>
    </row>
    <row r="58" spans="1:34" hidden="1" x14ac:dyDescent="0.25">
      <c r="H58" s="194"/>
    </row>
    <row r="59" spans="1:34" hidden="1" x14ac:dyDescent="0.25">
      <c r="H59" s="194"/>
    </row>
    <row r="60" spans="1:34" hidden="1" x14ac:dyDescent="0.25">
      <c r="H60" s="194"/>
    </row>
    <row r="61" spans="1:34" hidden="1" x14ac:dyDescent="0.25">
      <c r="H61" s="194"/>
    </row>
    <row r="62" spans="1:34" hidden="1" x14ac:dyDescent="0.25">
      <c r="H62" s="194"/>
    </row>
  </sheetData>
  <dataConsolidate/>
  <mergeCells count="12">
    <mergeCell ref="K20:N20"/>
    <mergeCell ref="B42:B43"/>
    <mergeCell ref="B10:B11"/>
    <mergeCell ref="E10:F11"/>
    <mergeCell ref="A1:A53"/>
    <mergeCell ref="B3:G3"/>
    <mergeCell ref="C51:F51"/>
    <mergeCell ref="B53:F53"/>
    <mergeCell ref="C47:F47"/>
    <mergeCell ref="B26:F26"/>
    <mergeCell ref="B28:F28"/>
    <mergeCell ref="B30:F30"/>
  </mergeCells>
  <dataValidations count="1">
    <dataValidation type="decimal" allowBlank="1" showInputMessage="1" showErrorMessage="1" sqref="C13:C24">
      <formula1>0</formula1>
      <formula2>9999999999999990000</formula2>
    </dataValidation>
  </dataValidations>
  <pageMargins left="0.8" right="0.3" top="0.7" bottom="0.7" header="0.3" footer="0.3"/>
  <pageSetup paperSize="9" scale="50" orientation="portrait" horizontalDpi="4294967295" verticalDpi="4294967295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Entgeltrechner2019_inklVNB</vt:lpstr>
      <vt:lpstr>Messtechnik</vt:lpstr>
      <vt:lpstr>Preistabellen inkl. VNB</vt:lpstr>
      <vt:lpstr>verkn.Preistabellen inkl. VNB</vt:lpstr>
      <vt:lpstr>unterjNN</vt:lpstr>
      <vt:lpstr>Entgeltrechner2019_inklVNB!Print_Area</vt:lpstr>
      <vt:lpstr>Entgeltrechner2019_inklVNB!Print_Titles</vt:lpstr>
      <vt:lpstr>Zaehler</vt:lpstr>
    </vt:vector>
  </TitlesOfParts>
  <Company>Erdgas Südwest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Pfaffth</dc:creator>
  <cp:lastModifiedBy>Pfaff Thomas</cp:lastModifiedBy>
  <cp:lastPrinted>2019-01-09T09:59:38Z</cp:lastPrinted>
  <dcterms:created xsi:type="dcterms:W3CDTF">2009-02-10T11:15:24Z</dcterms:created>
  <dcterms:modified xsi:type="dcterms:W3CDTF">2019-04-10T05:26:33Z</dcterms:modified>
</cp:coreProperties>
</file>